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lwoods\Desktop\ARC\ARC 2017\BudgetPresentation\BudgetReconPresentation\"/>
    </mc:Choice>
  </mc:AlternateContent>
  <bookViews>
    <workbookView xWindow="480" yWindow="345" windowWidth="11355" windowHeight="7635" tabRatio="1000"/>
  </bookViews>
  <sheets>
    <sheet name="CENGReport" sheetId="23" r:id="rId1"/>
    <sheet name="Budget" sheetId="26" r:id="rId2"/>
    <sheet name="Summary" sheetId="1" r:id="rId3"/>
    <sheet name="Faculty" sheetId="2" r:id="rId4"/>
    <sheet name="SummerSession-Misc" sheetId="19" r:id="rId5"/>
    <sheet name="Dept Chair" sheetId="7" r:id="rId6"/>
    <sheet name="MgmtSuper" sheetId="6" r:id="rId7"/>
    <sheet name="Full-time Lecturers" sheetId="4" r:id="rId8"/>
    <sheet name="Part-time Lecturers" sheetId="21" r:id="rId9"/>
    <sheet name="Staff" sheetId="3" r:id="rId10"/>
    <sheet name="TAs" sheetId="8" r:id="rId11"/>
    <sheet name="ISA's" sheetId="9" r:id="rId12"/>
    <sheet name="SA - Admin" sheetId="10" r:id="rId13"/>
    <sheet name="SA-Tech's" sheetId="11" r:id="rId14"/>
    <sheet name="O&amp;E" sheetId="5" r:id="rId15"/>
    <sheet name="Lottery" sheetId="17" r:id="rId16"/>
    <sheet name="Forbes Prof" sheetId="25" r:id="rId17"/>
    <sheet name="GS597" sheetId="30" r:id="rId18"/>
    <sheet name="CBF" sheetId="22" r:id="rId19"/>
    <sheet name="SSF" sheetId="27" r:id="rId20"/>
    <sheet name="CPP" sheetId="29" r:id="rId21"/>
    <sheet name="Sheet2" sheetId="24" r:id="rId22"/>
  </sheets>
  <definedNames>
    <definedName name="_xlnm.Print_Area" localSheetId="11">'ISA''s'!$A$1:$S$80</definedName>
    <definedName name="_xlnm.Print_Titles" localSheetId="1">Budget!$20:$20</definedName>
    <definedName name="_xlnm.Print_Titles" localSheetId="2">Summary!$A:$A,Summary!$1:$1</definedName>
  </definedNames>
  <calcPr calcId="162913"/>
</workbook>
</file>

<file path=xl/calcChain.xml><?xml version="1.0" encoding="utf-8"?>
<calcChain xmlns="http://schemas.openxmlformats.org/spreadsheetml/2006/main">
  <c r="L23" i="5" l="1"/>
  <c r="L18" i="5"/>
  <c r="L16" i="5"/>
  <c r="K20" i="17"/>
  <c r="K18" i="17"/>
  <c r="O35" i="21"/>
  <c r="N35" i="21"/>
  <c r="L35" i="21"/>
  <c r="K35" i="21"/>
  <c r="L26" i="8"/>
  <c r="M26" i="8" s="1"/>
  <c r="N26" i="8"/>
  <c r="Q26" i="8" s="1"/>
  <c r="O26" i="8"/>
  <c r="P26" i="8" s="1"/>
  <c r="I26" i="8"/>
  <c r="J26" i="8" s="1"/>
  <c r="F26" i="8"/>
  <c r="G26" i="8" s="1"/>
  <c r="C26" i="8"/>
  <c r="D26" i="8" s="1"/>
  <c r="M25" i="8"/>
  <c r="N25" i="8"/>
  <c r="O25" i="8" s="1"/>
  <c r="Q25" i="8"/>
  <c r="R25" i="8" s="1"/>
  <c r="L25" i="8"/>
  <c r="I25" i="8"/>
  <c r="J25" i="8" s="1"/>
  <c r="F25" i="8"/>
  <c r="G25" i="8" s="1"/>
  <c r="D25" i="8"/>
  <c r="C25" i="8"/>
  <c r="L29" i="8"/>
  <c r="N23" i="8"/>
  <c r="O23" i="8" s="1"/>
  <c r="M23" i="8"/>
  <c r="L23" i="8"/>
  <c r="J23" i="8"/>
  <c r="G23" i="8"/>
  <c r="C9" i="7"/>
  <c r="D9" i="7"/>
  <c r="E9" i="7"/>
  <c r="F9" i="7"/>
  <c r="G9" i="7"/>
  <c r="H9" i="7"/>
  <c r="I9" i="7"/>
  <c r="J9" i="7"/>
  <c r="K9" i="7"/>
  <c r="L9" i="7"/>
  <c r="B9" i="7"/>
  <c r="S8" i="7"/>
  <c r="R8" i="7"/>
  <c r="Q8" i="7"/>
  <c r="P8" i="7"/>
  <c r="O8" i="7"/>
  <c r="N8" i="7"/>
  <c r="M8" i="7"/>
  <c r="J8" i="7"/>
  <c r="G8" i="7"/>
  <c r="D8" i="7"/>
  <c r="R26" i="8" l="1"/>
  <c r="S26" i="8" s="1"/>
  <c r="P25" i="8"/>
  <c r="S25" i="8"/>
  <c r="Q23" i="8"/>
  <c r="P23" i="8"/>
  <c r="N35" i="5"/>
  <c r="M36" i="5"/>
  <c r="N84" i="1"/>
  <c r="R23" i="8" l="1"/>
  <c r="S23" i="8"/>
  <c r="N12" i="3"/>
  <c r="O12" i="3"/>
  <c r="C21" i="10"/>
  <c r="D21" i="10"/>
  <c r="E21" i="10"/>
  <c r="F21" i="10"/>
  <c r="G21" i="10"/>
  <c r="H21" i="10"/>
  <c r="I21" i="10"/>
  <c r="J21" i="10"/>
  <c r="K21" i="10"/>
  <c r="B21" i="10"/>
  <c r="N20" i="10"/>
  <c r="O20" i="10" s="1"/>
  <c r="P20" i="10" s="1"/>
  <c r="L20" i="10"/>
  <c r="M20" i="10" s="1"/>
  <c r="I20" i="10"/>
  <c r="J20" i="10" s="1"/>
  <c r="G20" i="10"/>
  <c r="F20" i="10"/>
  <c r="C20" i="10"/>
  <c r="D20" i="10" s="1"/>
  <c r="H38" i="21"/>
  <c r="H19" i="4"/>
  <c r="H39" i="21"/>
  <c r="H35" i="21"/>
  <c r="H21" i="4"/>
  <c r="H20" i="4"/>
  <c r="H18" i="4"/>
  <c r="H17" i="4"/>
  <c r="H15" i="4"/>
  <c r="N80" i="9"/>
  <c r="Q80" i="9" s="1"/>
  <c r="O80" i="9"/>
  <c r="R80" i="9" s="1"/>
  <c r="I80" i="9"/>
  <c r="I42" i="2"/>
  <c r="I51" i="2"/>
  <c r="I50" i="2"/>
  <c r="I49" i="2"/>
  <c r="I48" i="2"/>
  <c r="I47" i="2"/>
  <c r="I46" i="2"/>
  <c r="I45" i="2"/>
  <c r="I44" i="2"/>
  <c r="I43" i="2"/>
  <c r="K43" i="2" s="1"/>
  <c r="K42" i="2"/>
  <c r="I41" i="2"/>
  <c r="K30" i="2"/>
  <c r="K31" i="2"/>
  <c r="K32" i="2"/>
  <c r="K33" i="2"/>
  <c r="K34" i="2"/>
  <c r="K35" i="2"/>
  <c r="K36" i="2"/>
  <c r="K37" i="2"/>
  <c r="K38" i="2"/>
  <c r="K39" i="2"/>
  <c r="K40" i="2"/>
  <c r="K41" i="2"/>
  <c r="K44" i="2"/>
  <c r="K45" i="2"/>
  <c r="K46" i="2"/>
  <c r="K47" i="2"/>
  <c r="K48" i="2"/>
  <c r="K49" i="2"/>
  <c r="K50" i="2"/>
  <c r="K51" i="2"/>
  <c r="K29" i="2"/>
  <c r="I40" i="2"/>
  <c r="I39" i="2"/>
  <c r="I38" i="2"/>
  <c r="I37" i="2"/>
  <c r="I36" i="2"/>
  <c r="I34" i="2"/>
  <c r="I33" i="2"/>
  <c r="I32" i="2"/>
  <c r="I31" i="2"/>
  <c r="I30" i="2"/>
  <c r="I29" i="2"/>
  <c r="H7" i="7"/>
  <c r="Q20" i="10" l="1"/>
  <c r="R20" i="10" s="1"/>
  <c r="S20" i="10" s="1"/>
  <c r="H110" i="1"/>
  <c r="G110" i="1"/>
  <c r="I110" i="1"/>
  <c r="F80" i="9"/>
  <c r="G80" i="9" s="1"/>
  <c r="C57" i="9"/>
  <c r="D57" i="9" s="1"/>
  <c r="F57" i="9"/>
  <c r="G57" i="9" s="1"/>
  <c r="H57" i="9"/>
  <c r="I57" i="9"/>
  <c r="J57" i="9" s="1"/>
  <c r="K57" i="9"/>
  <c r="L57" i="9"/>
  <c r="M57" i="9" s="1"/>
  <c r="N57" i="9"/>
  <c r="O57" i="9" s="1"/>
  <c r="Q57" i="9"/>
  <c r="R57" i="9"/>
  <c r="I58" i="9"/>
  <c r="J58" i="9" s="1"/>
  <c r="L58" i="9"/>
  <c r="M58" i="9" s="1"/>
  <c r="O58" i="9"/>
  <c r="P58" i="9" s="1"/>
  <c r="R58" i="9"/>
  <c r="S58" i="9" s="1"/>
  <c r="H52" i="9"/>
  <c r="K52" i="9" s="1"/>
  <c r="C52" i="9"/>
  <c r="D52" i="9" s="1"/>
  <c r="F52" i="9"/>
  <c r="G52" i="9" s="1"/>
  <c r="I52" i="9"/>
  <c r="I49" i="9"/>
  <c r="J49" i="9" s="1"/>
  <c r="L49" i="9"/>
  <c r="M49" i="9" s="1"/>
  <c r="O49" i="9"/>
  <c r="P49" i="9" s="1"/>
  <c r="R49" i="9"/>
  <c r="S49" i="9" s="1"/>
  <c r="I50" i="9"/>
  <c r="J50" i="9" s="1"/>
  <c r="L50" i="9"/>
  <c r="M50" i="9" s="1"/>
  <c r="O50" i="9"/>
  <c r="P50" i="9" s="1"/>
  <c r="R50" i="9"/>
  <c r="S50" i="9" s="1"/>
  <c r="I51" i="9"/>
  <c r="J51" i="9" s="1"/>
  <c r="L51" i="9"/>
  <c r="M51" i="9" s="1"/>
  <c r="O51" i="9"/>
  <c r="P51" i="9" s="1"/>
  <c r="R51" i="9"/>
  <c r="S51" i="9" s="1"/>
  <c r="I79" i="9"/>
  <c r="J79" i="9" s="1"/>
  <c r="L79" i="9"/>
  <c r="M79" i="9" s="1"/>
  <c r="O79" i="9"/>
  <c r="P79" i="9" s="1"/>
  <c r="R79" i="9"/>
  <c r="S79" i="9" s="1"/>
  <c r="L15" i="10"/>
  <c r="I15" i="10"/>
  <c r="J15" i="10" s="1"/>
  <c r="G15" i="10"/>
  <c r="F15" i="10"/>
  <c r="D15" i="10"/>
  <c r="F49" i="2"/>
  <c r="F39" i="2"/>
  <c r="S57" i="9" l="1"/>
  <c r="L52" i="9"/>
  <c r="N52" i="9"/>
  <c r="O52" i="9" s="1"/>
  <c r="J52" i="9"/>
  <c r="P57" i="9"/>
  <c r="M52" i="9"/>
  <c r="N15" i="10"/>
  <c r="M15" i="10"/>
  <c r="N21" i="30"/>
  <c r="N20" i="30"/>
  <c r="O15" i="10" l="1"/>
  <c r="P52" i="9"/>
  <c r="Q52" i="9"/>
  <c r="R52" i="9"/>
  <c r="S52" i="9" s="1"/>
  <c r="P15" i="10"/>
  <c r="Q15" i="10"/>
  <c r="N83" i="1"/>
  <c r="N5" i="30"/>
  <c r="N4" i="30"/>
  <c r="N6" i="30"/>
  <c r="N7" i="30"/>
  <c r="N8" i="30"/>
  <c r="N9" i="30"/>
  <c r="N10" i="30"/>
  <c r="N11" i="30"/>
  <c r="N12" i="30"/>
  <c r="N13" i="30"/>
  <c r="N14" i="30"/>
  <c r="N15" i="30"/>
  <c r="N16" i="30"/>
  <c r="N17" i="30"/>
  <c r="N18" i="30"/>
  <c r="N19" i="30"/>
  <c r="N3" i="30"/>
  <c r="B3" i="30"/>
  <c r="R15" i="10" l="1"/>
  <c r="F29" i="11"/>
  <c r="G29" i="11" s="1"/>
  <c r="I29" i="11"/>
  <c r="J29" i="11" s="1"/>
  <c r="L29" i="11"/>
  <c r="M29" i="11" s="1"/>
  <c r="O29" i="11"/>
  <c r="P29" i="11" s="1"/>
  <c r="R29" i="11"/>
  <c r="S29" i="11"/>
  <c r="F30" i="11"/>
  <c r="G30" i="11"/>
  <c r="I30" i="11"/>
  <c r="J30" i="11" s="1"/>
  <c r="L30" i="11"/>
  <c r="M30" i="11" s="1"/>
  <c r="O30" i="11"/>
  <c r="P30" i="11" s="1"/>
  <c r="R30" i="11"/>
  <c r="S30" i="11" s="1"/>
  <c r="F31" i="11"/>
  <c r="G31" i="11" s="1"/>
  <c r="I31" i="11"/>
  <c r="J31" i="11" s="1"/>
  <c r="L31" i="11"/>
  <c r="M31" i="11" s="1"/>
  <c r="O31" i="11"/>
  <c r="P31" i="11" s="1"/>
  <c r="R31" i="11"/>
  <c r="S31" i="11" s="1"/>
  <c r="F32" i="11"/>
  <c r="G32" i="11" s="1"/>
  <c r="I32" i="11"/>
  <c r="J32" i="11"/>
  <c r="L32" i="11"/>
  <c r="M32" i="11" s="1"/>
  <c r="O32" i="11"/>
  <c r="P32" i="11" s="1"/>
  <c r="R32" i="11"/>
  <c r="S32" i="11" s="1"/>
  <c r="F33" i="11"/>
  <c r="G33" i="11" s="1"/>
  <c r="I33" i="11"/>
  <c r="J33" i="11"/>
  <c r="L33" i="11"/>
  <c r="M33" i="11" s="1"/>
  <c r="O33" i="11"/>
  <c r="P33" i="11"/>
  <c r="R33" i="11"/>
  <c r="S33" i="11"/>
  <c r="F34" i="11"/>
  <c r="G34" i="11" s="1"/>
  <c r="I34" i="11"/>
  <c r="J34" i="11" s="1"/>
  <c r="L34" i="11"/>
  <c r="M34" i="11"/>
  <c r="O34" i="11"/>
  <c r="P34" i="11"/>
  <c r="R34" i="11"/>
  <c r="S34" i="11"/>
  <c r="F35" i="11"/>
  <c r="G35" i="11" s="1"/>
  <c r="I35" i="11"/>
  <c r="J35" i="11" s="1"/>
  <c r="L35" i="11"/>
  <c r="M35" i="11"/>
  <c r="O35" i="11"/>
  <c r="P35" i="11"/>
  <c r="R35" i="11"/>
  <c r="S35" i="11"/>
  <c r="F36" i="11"/>
  <c r="G36" i="11"/>
  <c r="I36" i="11"/>
  <c r="J36" i="11" s="1"/>
  <c r="L36" i="11"/>
  <c r="M36" i="11" s="1"/>
  <c r="O36" i="11"/>
  <c r="P36" i="11" s="1"/>
  <c r="R36" i="11"/>
  <c r="S36" i="11" s="1"/>
  <c r="F37" i="11"/>
  <c r="G37" i="11" s="1"/>
  <c r="I37" i="11"/>
  <c r="J37" i="11" s="1"/>
  <c r="L37" i="11"/>
  <c r="M37" i="11" s="1"/>
  <c r="O37" i="11"/>
  <c r="P37" i="11" s="1"/>
  <c r="R37" i="11"/>
  <c r="S37" i="11" s="1"/>
  <c r="F38" i="11"/>
  <c r="G38" i="11" s="1"/>
  <c r="I38" i="11"/>
  <c r="J38" i="11" s="1"/>
  <c r="L38" i="11"/>
  <c r="M38" i="11" s="1"/>
  <c r="O38" i="11"/>
  <c r="P38" i="11" s="1"/>
  <c r="R38" i="11"/>
  <c r="S38" i="11" s="1"/>
  <c r="F39" i="11"/>
  <c r="G39" i="11" s="1"/>
  <c r="I39" i="11"/>
  <c r="J39" i="11" s="1"/>
  <c r="L39" i="11"/>
  <c r="M39" i="11" s="1"/>
  <c r="O39" i="11"/>
  <c r="P39" i="11" s="1"/>
  <c r="R39" i="11"/>
  <c r="S39" i="11" s="1"/>
  <c r="F40" i="11"/>
  <c r="G40" i="11" s="1"/>
  <c r="I40" i="11"/>
  <c r="J40" i="11" s="1"/>
  <c r="L40" i="11"/>
  <c r="M40" i="11" s="1"/>
  <c r="O40" i="11"/>
  <c r="P40" i="11" s="1"/>
  <c r="R40" i="11"/>
  <c r="S40" i="11" s="1"/>
  <c r="F41" i="11"/>
  <c r="G41" i="11" s="1"/>
  <c r="I41" i="11"/>
  <c r="J41" i="11" s="1"/>
  <c r="L41" i="11"/>
  <c r="M41" i="11" s="1"/>
  <c r="O41" i="11"/>
  <c r="P41" i="11" s="1"/>
  <c r="R41" i="11"/>
  <c r="S41" i="11" s="1"/>
  <c r="F42" i="11"/>
  <c r="G42" i="11" s="1"/>
  <c r="I42" i="11"/>
  <c r="J42" i="11" s="1"/>
  <c r="L42" i="11"/>
  <c r="M42" i="11" s="1"/>
  <c r="O42" i="11"/>
  <c r="P42" i="11" s="1"/>
  <c r="R42" i="11"/>
  <c r="S42" i="11" s="1"/>
  <c r="F43" i="11"/>
  <c r="G43" i="11" s="1"/>
  <c r="I43" i="11"/>
  <c r="J43" i="11" s="1"/>
  <c r="L43" i="11"/>
  <c r="M43" i="11"/>
  <c r="O43" i="11"/>
  <c r="P43" i="11"/>
  <c r="R43" i="11"/>
  <c r="S43" i="11"/>
  <c r="C30" i="11"/>
  <c r="D30" i="11" s="1"/>
  <c r="C31" i="11"/>
  <c r="D31" i="11" s="1"/>
  <c r="C32" i="11"/>
  <c r="D32" i="11" s="1"/>
  <c r="C33" i="11"/>
  <c r="D33" i="11" s="1"/>
  <c r="C34" i="11"/>
  <c r="D34" i="11" s="1"/>
  <c r="C35" i="11"/>
  <c r="D35" i="11" s="1"/>
  <c r="C36" i="11"/>
  <c r="D36" i="11" s="1"/>
  <c r="C37" i="11"/>
  <c r="D37" i="11" s="1"/>
  <c r="C38" i="11"/>
  <c r="D38" i="11" s="1"/>
  <c r="C39" i="11"/>
  <c r="D39" i="11" s="1"/>
  <c r="C40" i="11"/>
  <c r="D40" i="11" s="1"/>
  <c r="C41" i="11"/>
  <c r="D41" i="11" s="1"/>
  <c r="C42" i="11"/>
  <c r="D42" i="11" s="1"/>
  <c r="C43" i="11"/>
  <c r="D43" i="11" s="1"/>
  <c r="B13" i="3"/>
  <c r="D13" i="3"/>
  <c r="C13" i="3"/>
  <c r="B10" i="3"/>
  <c r="B17" i="4"/>
  <c r="C33" i="21"/>
  <c r="B33" i="21"/>
  <c r="B15" i="4"/>
  <c r="F49" i="9"/>
  <c r="G49" i="9" s="1"/>
  <c r="F51" i="9"/>
  <c r="G51" i="9" s="1"/>
  <c r="H53" i="9"/>
  <c r="K53" i="9"/>
  <c r="L53" i="9" s="1"/>
  <c r="N53" i="9"/>
  <c r="O53" i="9"/>
  <c r="Q53" i="9"/>
  <c r="R53" i="9"/>
  <c r="S53" i="9" s="1"/>
  <c r="S80" i="9" s="1"/>
  <c r="F54" i="9"/>
  <c r="H54" i="9"/>
  <c r="I54" i="9"/>
  <c r="J54" i="9" s="1"/>
  <c r="K54" i="9"/>
  <c r="L54" i="9" s="1"/>
  <c r="N54" i="9"/>
  <c r="Q54" i="9"/>
  <c r="R54" i="9"/>
  <c r="S54" i="9" s="1"/>
  <c r="F55" i="9"/>
  <c r="G55" i="9" s="1"/>
  <c r="H55" i="9"/>
  <c r="K55" i="9"/>
  <c r="N55" i="9"/>
  <c r="O55" i="9"/>
  <c r="P55" i="9" s="1"/>
  <c r="Q55" i="9"/>
  <c r="R55" i="9"/>
  <c r="S55" i="9" s="1"/>
  <c r="F56" i="9"/>
  <c r="H56" i="9"/>
  <c r="I56" i="9"/>
  <c r="J56" i="9"/>
  <c r="K56" i="9"/>
  <c r="N56" i="9"/>
  <c r="Q56" i="9"/>
  <c r="R56" i="9" s="1"/>
  <c r="S56" i="9" s="1"/>
  <c r="F58" i="9"/>
  <c r="G58" i="9" s="1"/>
  <c r="E59" i="9"/>
  <c r="F59" i="9" s="1"/>
  <c r="G59" i="9" s="1"/>
  <c r="H59" i="9"/>
  <c r="I59" i="9"/>
  <c r="J59" i="9"/>
  <c r="K59" i="9"/>
  <c r="N59" i="9"/>
  <c r="O59" i="9"/>
  <c r="Q59" i="9"/>
  <c r="R59" i="9" s="1"/>
  <c r="S59" i="9" s="1"/>
  <c r="E60" i="9"/>
  <c r="H60" i="9"/>
  <c r="I60" i="9"/>
  <c r="K60" i="9"/>
  <c r="L60" i="9" s="1"/>
  <c r="N60" i="9"/>
  <c r="Q60" i="9"/>
  <c r="R60" i="9" s="1"/>
  <c r="S60" i="9" s="1"/>
  <c r="E61" i="9"/>
  <c r="H61" i="9"/>
  <c r="I61" i="9"/>
  <c r="K61" i="9"/>
  <c r="N61" i="9"/>
  <c r="O61" i="9" s="1"/>
  <c r="Q61" i="9"/>
  <c r="R61" i="9"/>
  <c r="S61" i="9" s="1"/>
  <c r="E62" i="9"/>
  <c r="H62" i="9"/>
  <c r="K62" i="9"/>
  <c r="L62" i="9"/>
  <c r="M62" i="9" s="1"/>
  <c r="N62" i="9"/>
  <c r="Q62" i="9"/>
  <c r="R62" i="9" s="1"/>
  <c r="S62" i="9" s="1"/>
  <c r="E63" i="9"/>
  <c r="H63" i="9"/>
  <c r="K63" i="9"/>
  <c r="N63" i="9"/>
  <c r="Q63" i="9"/>
  <c r="R63" i="9" s="1"/>
  <c r="S63" i="9" s="1"/>
  <c r="E64" i="9"/>
  <c r="H64" i="9"/>
  <c r="I64" i="9" s="1"/>
  <c r="K64" i="9"/>
  <c r="L64" i="9"/>
  <c r="M64" i="9" s="1"/>
  <c r="N64" i="9"/>
  <c r="O64" i="9" s="1"/>
  <c r="Q64" i="9"/>
  <c r="R64" i="9" s="1"/>
  <c r="S64" i="9" s="1"/>
  <c r="E65" i="9"/>
  <c r="F65" i="9" s="1"/>
  <c r="H65" i="9"/>
  <c r="I65" i="9"/>
  <c r="J65" i="9" s="1"/>
  <c r="K65" i="9"/>
  <c r="N65" i="9"/>
  <c r="O65" i="9" s="1"/>
  <c r="Q65" i="9"/>
  <c r="R65" i="9" s="1"/>
  <c r="S65" i="9" s="1"/>
  <c r="E66" i="9"/>
  <c r="H66" i="9"/>
  <c r="I66" i="9" s="1"/>
  <c r="K66" i="9"/>
  <c r="L66" i="9"/>
  <c r="N66" i="9"/>
  <c r="Q66" i="9"/>
  <c r="R66" i="9" s="1"/>
  <c r="S66" i="9" s="1"/>
  <c r="E67" i="9"/>
  <c r="F67" i="9" s="1"/>
  <c r="G67" i="9" s="1"/>
  <c r="H67" i="9"/>
  <c r="I67" i="9"/>
  <c r="J67" i="9" s="1"/>
  <c r="K67" i="9"/>
  <c r="N67" i="9"/>
  <c r="O67" i="9" s="1"/>
  <c r="Q67" i="9"/>
  <c r="R67" i="9" s="1"/>
  <c r="S67" i="9" s="1"/>
  <c r="E68" i="9"/>
  <c r="H68" i="9"/>
  <c r="I68" i="9" s="1"/>
  <c r="K68" i="9"/>
  <c r="L68" i="9"/>
  <c r="M68" i="9" s="1"/>
  <c r="N68" i="9"/>
  <c r="Q68" i="9"/>
  <c r="R68" i="9" s="1"/>
  <c r="S68" i="9" s="1"/>
  <c r="E69" i="9"/>
  <c r="F69" i="9" s="1"/>
  <c r="H69" i="9"/>
  <c r="I69" i="9" s="1"/>
  <c r="J69" i="9" s="1"/>
  <c r="K69" i="9"/>
  <c r="L69" i="9" s="1"/>
  <c r="M69" i="9" s="1"/>
  <c r="N69" i="9"/>
  <c r="Q69" i="9"/>
  <c r="R69" i="9"/>
  <c r="S69" i="9" s="1"/>
  <c r="E70" i="9"/>
  <c r="F70" i="9" s="1"/>
  <c r="H70" i="9"/>
  <c r="I70" i="9" s="1"/>
  <c r="K70" i="9"/>
  <c r="L70" i="9" s="1"/>
  <c r="N70" i="9"/>
  <c r="O70" i="9" s="1"/>
  <c r="P70" i="9" s="1"/>
  <c r="Q70" i="9"/>
  <c r="R70" i="9" s="1"/>
  <c r="S70" i="9" s="1"/>
  <c r="E71" i="9"/>
  <c r="H71" i="9"/>
  <c r="I71" i="9"/>
  <c r="J71" i="9" s="1"/>
  <c r="K71" i="9"/>
  <c r="N71" i="9"/>
  <c r="O71" i="9"/>
  <c r="Q71" i="9"/>
  <c r="R71" i="9" s="1"/>
  <c r="S71" i="9" s="1"/>
  <c r="E72" i="9"/>
  <c r="F72" i="9" s="1"/>
  <c r="G72" i="9" s="1"/>
  <c r="H72" i="9"/>
  <c r="I72" i="9" s="1"/>
  <c r="K72" i="9"/>
  <c r="L72" i="9" s="1"/>
  <c r="N72" i="9"/>
  <c r="Q72" i="9"/>
  <c r="R72" i="9" s="1"/>
  <c r="S72" i="9" s="1"/>
  <c r="E73" i="9"/>
  <c r="H73" i="9"/>
  <c r="I73" i="9" s="1"/>
  <c r="K73" i="9"/>
  <c r="L73" i="9" s="1"/>
  <c r="N73" i="9"/>
  <c r="O73" i="9" s="1"/>
  <c r="Q73" i="9"/>
  <c r="R73" i="9" s="1"/>
  <c r="S73" i="9" s="1"/>
  <c r="E74" i="9"/>
  <c r="F74" i="9" s="1"/>
  <c r="G74" i="9" s="1"/>
  <c r="H74" i="9"/>
  <c r="K74" i="9"/>
  <c r="L74" i="9" s="1"/>
  <c r="M74" i="9" s="1"/>
  <c r="N74" i="9"/>
  <c r="Q74" i="9"/>
  <c r="R74" i="9" s="1"/>
  <c r="S74" i="9" s="1"/>
  <c r="E75" i="9"/>
  <c r="H75" i="9"/>
  <c r="K75" i="9"/>
  <c r="L75" i="9" s="1"/>
  <c r="N75" i="9"/>
  <c r="O75" i="9" s="1"/>
  <c r="Q75" i="9"/>
  <c r="R75" i="9"/>
  <c r="S75" i="9" s="1"/>
  <c r="E76" i="9"/>
  <c r="H76" i="9"/>
  <c r="I76" i="9"/>
  <c r="K76" i="9"/>
  <c r="N76" i="9"/>
  <c r="O76" i="9" s="1"/>
  <c r="Q76" i="9"/>
  <c r="R76" i="9" s="1"/>
  <c r="S76" i="9" s="1"/>
  <c r="E77" i="9"/>
  <c r="F77" i="9" s="1"/>
  <c r="H77" i="9"/>
  <c r="I77" i="9" s="1"/>
  <c r="J77" i="9" s="1"/>
  <c r="K77" i="9"/>
  <c r="L77" i="9" s="1"/>
  <c r="M77" i="9" s="1"/>
  <c r="N77" i="9"/>
  <c r="Q77" i="9"/>
  <c r="R77" i="9" s="1"/>
  <c r="S77" i="9" s="1"/>
  <c r="E78" i="9"/>
  <c r="F78" i="9" s="1"/>
  <c r="H78" i="9"/>
  <c r="I78" i="9" s="1"/>
  <c r="K78" i="9"/>
  <c r="L78" i="9" s="1"/>
  <c r="N78" i="9"/>
  <c r="O78" i="9" s="1"/>
  <c r="P78" i="9" s="1"/>
  <c r="Q78" i="9"/>
  <c r="R78" i="9" s="1"/>
  <c r="S78" i="9" s="1"/>
  <c r="F79" i="9"/>
  <c r="C58" i="9"/>
  <c r="D58" i="9" s="1"/>
  <c r="C60" i="9"/>
  <c r="C65" i="9"/>
  <c r="D65" i="9" s="1"/>
  <c r="C73" i="9"/>
  <c r="D73" i="9" s="1"/>
  <c r="B50" i="9"/>
  <c r="C50" i="9" s="1"/>
  <c r="D50" i="9" s="1"/>
  <c r="B51" i="9"/>
  <c r="B53" i="9"/>
  <c r="C53" i="9" s="1"/>
  <c r="B54" i="9"/>
  <c r="C54" i="9" s="1"/>
  <c r="D54" i="9" s="1"/>
  <c r="B55" i="9"/>
  <c r="C55" i="9" s="1"/>
  <c r="D55" i="9" s="1"/>
  <c r="B56" i="9"/>
  <c r="C56" i="9" s="1"/>
  <c r="D56" i="9" s="1"/>
  <c r="B59" i="9"/>
  <c r="C59" i="9" s="1"/>
  <c r="D59" i="9" s="1"/>
  <c r="B60" i="9"/>
  <c r="B61" i="9"/>
  <c r="C61" i="9" s="1"/>
  <c r="D61" i="9" s="1"/>
  <c r="B62" i="9"/>
  <c r="C62" i="9" s="1"/>
  <c r="B63" i="9"/>
  <c r="C63" i="9" s="1"/>
  <c r="D63" i="9" s="1"/>
  <c r="B64" i="9"/>
  <c r="B65" i="9"/>
  <c r="B66" i="9"/>
  <c r="B67" i="9"/>
  <c r="C67" i="9" s="1"/>
  <c r="D67" i="9" s="1"/>
  <c r="B68" i="9"/>
  <c r="C68" i="9" s="1"/>
  <c r="B69" i="9"/>
  <c r="C69" i="9" s="1"/>
  <c r="D69" i="9" s="1"/>
  <c r="B70" i="9"/>
  <c r="C70" i="9" s="1"/>
  <c r="B71" i="9"/>
  <c r="C71" i="9" s="1"/>
  <c r="D71" i="9" s="1"/>
  <c r="B72" i="9"/>
  <c r="C72" i="9" s="1"/>
  <c r="B73" i="9"/>
  <c r="B74" i="9"/>
  <c r="B75" i="9"/>
  <c r="C75" i="9" s="1"/>
  <c r="D75" i="9" s="1"/>
  <c r="B76" i="9"/>
  <c r="C76" i="9" s="1"/>
  <c r="D76" i="9" s="1"/>
  <c r="B77" i="9"/>
  <c r="C77" i="9" s="1"/>
  <c r="D77" i="9" s="1"/>
  <c r="B78" i="9"/>
  <c r="B79" i="9"/>
  <c r="C79" i="9" s="1"/>
  <c r="D79" i="9" s="1"/>
  <c r="B49" i="9"/>
  <c r="C49" i="9" s="1"/>
  <c r="B19" i="8"/>
  <c r="B27" i="8"/>
  <c r="B24" i="8"/>
  <c r="B22" i="8"/>
  <c r="B20" i="8"/>
  <c r="B18" i="8"/>
  <c r="S15" i="10" l="1"/>
  <c r="M66" i="9"/>
  <c r="D60" i="9"/>
  <c r="P53" i="9"/>
  <c r="M60" i="9"/>
  <c r="D53" i="9"/>
  <c r="M75" i="9"/>
  <c r="C78" i="9"/>
  <c r="D78" i="9" s="1"/>
  <c r="C74" i="9"/>
  <c r="D74" i="9" s="1"/>
  <c r="D70" i="9"/>
  <c r="C66" i="9"/>
  <c r="D66" i="9" s="1"/>
  <c r="C51" i="9"/>
  <c r="D51" i="9" s="1"/>
  <c r="F73" i="9"/>
  <c r="G73" i="9" s="1"/>
  <c r="O68" i="9"/>
  <c r="P68" i="9" s="1"/>
  <c r="O66" i="9"/>
  <c r="P66" i="9" s="1"/>
  <c r="F61" i="9"/>
  <c r="G61" i="9" s="1"/>
  <c r="P76" i="9"/>
  <c r="F76" i="9"/>
  <c r="G76" i="9" s="1"/>
  <c r="F75" i="9"/>
  <c r="G75" i="9" s="1"/>
  <c r="F63" i="9"/>
  <c r="G63" i="9" s="1"/>
  <c r="L56" i="9"/>
  <c r="M56" i="9" s="1"/>
  <c r="M54" i="9"/>
  <c r="F53" i="9"/>
  <c r="G53" i="9" s="1"/>
  <c r="D49" i="9"/>
  <c r="C64" i="9"/>
  <c r="D64" i="9" s="1"/>
  <c r="D72" i="9"/>
  <c r="D68" i="9"/>
  <c r="L76" i="9"/>
  <c r="M76" i="9" s="1"/>
  <c r="O72" i="9"/>
  <c r="P72" i="9" s="1"/>
  <c r="P64" i="9"/>
  <c r="O60" i="9"/>
  <c r="P60" i="9" s="1"/>
  <c r="D62" i="9"/>
  <c r="I75" i="9"/>
  <c r="J75" i="9" s="1"/>
  <c r="O74" i="9"/>
  <c r="P74" i="9" s="1"/>
  <c r="J73" i="9"/>
  <c r="L71" i="9"/>
  <c r="M71" i="9" s="1"/>
  <c r="F71" i="9"/>
  <c r="G71" i="9" s="1"/>
  <c r="G65" i="9"/>
  <c r="I63" i="9"/>
  <c r="J63" i="9" s="1"/>
  <c r="O62" i="9"/>
  <c r="P62" i="9" s="1"/>
  <c r="J61" i="9"/>
  <c r="G79" i="9"/>
  <c r="M72" i="9"/>
  <c r="L65" i="9"/>
  <c r="M65" i="9" s="1"/>
  <c r="F64" i="9"/>
  <c r="G64" i="9" s="1"/>
  <c r="J76" i="9"/>
  <c r="P71" i="9"/>
  <c r="J68" i="9"/>
  <c r="L63" i="9"/>
  <c r="M63" i="9" s="1"/>
  <c r="F62" i="9"/>
  <c r="G62" i="9" s="1"/>
  <c r="P61" i="9"/>
  <c r="J60" i="9"/>
  <c r="O56" i="9"/>
  <c r="P56" i="9" s="1"/>
  <c r="G56" i="9"/>
  <c r="I55" i="9"/>
  <c r="J55" i="9" s="1"/>
  <c r="M78" i="9"/>
  <c r="J78" i="9"/>
  <c r="G77" i="9"/>
  <c r="P73" i="9"/>
  <c r="M70" i="9"/>
  <c r="J70" i="9"/>
  <c r="G69" i="9"/>
  <c r="F68" i="9"/>
  <c r="G68" i="9" s="1"/>
  <c r="P67" i="9"/>
  <c r="J66" i="9"/>
  <c r="L61" i="9"/>
  <c r="M61" i="9" s="1"/>
  <c r="F60" i="9"/>
  <c r="G60" i="9" s="1"/>
  <c r="P59" i="9"/>
  <c r="M53" i="9"/>
  <c r="G78" i="9"/>
  <c r="O77" i="9"/>
  <c r="P77" i="9" s="1"/>
  <c r="P75" i="9"/>
  <c r="I74" i="9"/>
  <c r="J74" i="9" s="1"/>
  <c r="M73" i="9"/>
  <c r="J72" i="9"/>
  <c r="G70" i="9"/>
  <c r="O69" i="9"/>
  <c r="P69" i="9" s="1"/>
  <c r="L67" i="9"/>
  <c r="M67" i="9" s="1"/>
  <c r="F66" i="9"/>
  <c r="G66" i="9" s="1"/>
  <c r="P65" i="9"/>
  <c r="J64" i="9"/>
  <c r="O63" i="9"/>
  <c r="P63" i="9" s="1"/>
  <c r="I62" i="9"/>
  <c r="J62" i="9" s="1"/>
  <c r="L59" i="9"/>
  <c r="M59" i="9" s="1"/>
  <c r="L55" i="9"/>
  <c r="M55" i="9" s="1"/>
  <c r="O54" i="9"/>
  <c r="P54" i="9" s="1"/>
  <c r="G54" i="9"/>
  <c r="I53" i="9"/>
  <c r="J53" i="9" s="1"/>
  <c r="F50" i="9"/>
  <c r="G50" i="9" s="1"/>
  <c r="B80" i="9"/>
  <c r="I51" i="1"/>
  <c r="J51" i="1"/>
  <c r="K51" i="1"/>
  <c r="L51" i="1"/>
  <c r="M51" i="1"/>
  <c r="I52" i="1"/>
  <c r="J52" i="1"/>
  <c r="K52" i="1"/>
  <c r="L52" i="1"/>
  <c r="M52" i="1"/>
  <c r="I53" i="1"/>
  <c r="J53" i="1"/>
  <c r="K53" i="1"/>
  <c r="L53" i="1"/>
  <c r="M53" i="1"/>
  <c r="I54" i="1"/>
  <c r="J54" i="1"/>
  <c r="K54" i="1"/>
  <c r="L54" i="1"/>
  <c r="M54" i="1"/>
  <c r="I55" i="1"/>
  <c r="J55" i="1"/>
  <c r="K55" i="1"/>
  <c r="L55" i="1"/>
  <c r="M55" i="1"/>
  <c r="I56" i="1"/>
  <c r="J56" i="1"/>
  <c r="K56" i="1"/>
  <c r="L56" i="1"/>
  <c r="M56" i="1"/>
  <c r="I57" i="1"/>
  <c r="J57" i="1"/>
  <c r="K57" i="1"/>
  <c r="L57" i="1"/>
  <c r="M57" i="1"/>
  <c r="I58" i="1"/>
  <c r="J58" i="1"/>
  <c r="K58" i="1"/>
  <c r="L58" i="1"/>
  <c r="M58" i="1"/>
  <c r="I59" i="1"/>
  <c r="J59" i="1"/>
  <c r="K59" i="1"/>
  <c r="L59" i="1"/>
  <c r="M59" i="1"/>
  <c r="I60" i="1"/>
  <c r="J60" i="1"/>
  <c r="K60" i="1"/>
  <c r="L60" i="1"/>
  <c r="M60" i="1"/>
  <c r="I61" i="1"/>
  <c r="J61" i="1"/>
  <c r="K61" i="1"/>
  <c r="L61" i="1"/>
  <c r="M61" i="1"/>
  <c r="I62" i="1"/>
  <c r="J62" i="1"/>
  <c r="K62" i="1"/>
  <c r="L62" i="1"/>
  <c r="M62" i="1"/>
  <c r="I63" i="1"/>
  <c r="J63" i="1"/>
  <c r="K63" i="1"/>
  <c r="L63" i="1"/>
  <c r="M63" i="1"/>
  <c r="I64" i="1"/>
  <c r="J64" i="1"/>
  <c r="K64" i="1"/>
  <c r="L64" i="1"/>
  <c r="M64" i="1"/>
  <c r="I65" i="1"/>
  <c r="J65" i="1"/>
  <c r="K65" i="1"/>
  <c r="L65" i="1"/>
  <c r="M65" i="1"/>
  <c r="I66" i="1"/>
  <c r="J66" i="1"/>
  <c r="K66" i="1"/>
  <c r="L66" i="1"/>
  <c r="M66" i="1"/>
  <c r="I67" i="1"/>
  <c r="J67" i="1"/>
  <c r="K67" i="1"/>
  <c r="L67" i="1"/>
  <c r="M67" i="1"/>
  <c r="I68" i="1"/>
  <c r="J68" i="1"/>
  <c r="K68" i="1"/>
  <c r="L68" i="1"/>
  <c r="M68" i="1"/>
  <c r="I69" i="1"/>
  <c r="J69" i="1"/>
  <c r="K69" i="1"/>
  <c r="L69" i="1"/>
  <c r="M69" i="1"/>
  <c r="I70" i="1"/>
  <c r="J70" i="1"/>
  <c r="K70" i="1"/>
  <c r="L70" i="1"/>
  <c r="M70" i="1"/>
  <c r="I71" i="1"/>
  <c r="J71" i="1"/>
  <c r="K71" i="1"/>
  <c r="L71" i="1"/>
  <c r="M71" i="1"/>
  <c r="I72" i="1"/>
  <c r="J72" i="1"/>
  <c r="K72" i="1"/>
  <c r="L72" i="1"/>
  <c r="M72" i="1"/>
  <c r="I73" i="1"/>
  <c r="J73" i="1"/>
  <c r="K73" i="1"/>
  <c r="L73" i="1"/>
  <c r="M73" i="1"/>
  <c r="I74" i="1"/>
  <c r="J74" i="1"/>
  <c r="K74" i="1"/>
  <c r="L74" i="1"/>
  <c r="M74" i="1"/>
  <c r="I75" i="1"/>
  <c r="J75" i="1"/>
  <c r="K75" i="1"/>
  <c r="L75" i="1"/>
  <c r="M75" i="1"/>
  <c r="I77" i="1"/>
  <c r="J77" i="1"/>
  <c r="K77" i="1"/>
  <c r="L77" i="1"/>
  <c r="M77" i="1"/>
  <c r="I78" i="1"/>
  <c r="J78" i="1"/>
  <c r="K78" i="1"/>
  <c r="L78" i="1"/>
  <c r="M78" i="1"/>
  <c r="I79" i="1"/>
  <c r="J79" i="1"/>
  <c r="K79" i="1"/>
  <c r="L79" i="1"/>
  <c r="M79" i="1"/>
  <c r="I80" i="1"/>
  <c r="J80" i="1"/>
  <c r="K80" i="1"/>
  <c r="L80" i="1"/>
  <c r="M80" i="1"/>
  <c r="I81" i="1"/>
  <c r="J81" i="1"/>
  <c r="K81" i="1"/>
  <c r="L81" i="1"/>
  <c r="M81" i="1"/>
  <c r="I82" i="1"/>
  <c r="J82" i="1"/>
  <c r="K82" i="1"/>
  <c r="L82" i="1"/>
  <c r="M82" i="1"/>
  <c r="I83" i="1"/>
  <c r="J83" i="1"/>
  <c r="K83" i="1"/>
  <c r="L83" i="1"/>
  <c r="M83" i="1"/>
  <c r="I85" i="1"/>
  <c r="J85" i="1"/>
  <c r="K85" i="1"/>
  <c r="L85" i="1"/>
  <c r="I86" i="1"/>
  <c r="J86" i="1"/>
  <c r="K86" i="1"/>
  <c r="L86" i="1"/>
  <c r="P80" i="9" l="1"/>
  <c r="C80" i="9"/>
  <c r="D80" i="9"/>
  <c r="M80" i="9"/>
  <c r="J80" i="9"/>
  <c r="Q26" i="11"/>
  <c r="Q9" i="10"/>
  <c r="C3" i="11"/>
  <c r="D3" i="11" s="1"/>
  <c r="G3" i="11"/>
  <c r="I3" i="11"/>
  <c r="J3" i="11" s="1"/>
  <c r="L3" i="11"/>
  <c r="M3" i="11" s="1"/>
  <c r="O3" i="11"/>
  <c r="P3" i="11" s="1"/>
  <c r="R3" i="11"/>
  <c r="S3" i="11" s="1"/>
  <c r="R14" i="9"/>
  <c r="S14" i="9" s="1"/>
  <c r="O14" i="9"/>
  <c r="P14" i="9" s="1"/>
  <c r="L14" i="9"/>
  <c r="M14" i="9" s="1"/>
  <c r="I14" i="9"/>
  <c r="J14" i="9" s="1"/>
  <c r="F14" i="9"/>
  <c r="G14" i="9" s="1"/>
  <c r="D14" i="9"/>
  <c r="C51" i="1" l="1"/>
  <c r="D51" i="1"/>
  <c r="E51" i="1"/>
  <c r="F51" i="1"/>
  <c r="G51" i="1"/>
  <c r="H51" i="1"/>
  <c r="N32" i="26"/>
  <c r="N34" i="26"/>
  <c r="N35" i="26"/>
  <c r="N36" i="26"/>
  <c r="N37" i="26"/>
  <c r="N38" i="26"/>
  <c r="N39" i="26"/>
  <c r="N40" i="26"/>
  <c r="N41" i="26"/>
  <c r="N42" i="26"/>
  <c r="N43" i="26"/>
  <c r="N30" i="26"/>
  <c r="D44" i="26"/>
  <c r="E44" i="26"/>
  <c r="G44" i="26"/>
  <c r="H44" i="26"/>
  <c r="I44" i="26"/>
  <c r="J44" i="26"/>
  <c r="K44" i="26"/>
  <c r="L44" i="26"/>
  <c r="M44" i="26"/>
  <c r="B44" i="26"/>
  <c r="C73" i="1"/>
  <c r="D73" i="1"/>
  <c r="E73" i="1"/>
  <c r="F73" i="1"/>
  <c r="G73" i="1"/>
  <c r="H73" i="1"/>
  <c r="B73" i="1"/>
  <c r="N73" i="1" l="1"/>
  <c r="C90" i="1"/>
  <c r="D90" i="1"/>
  <c r="E90" i="1"/>
  <c r="F90" i="1"/>
  <c r="G90" i="1"/>
  <c r="H90" i="1"/>
  <c r="I90" i="1"/>
  <c r="J90" i="1"/>
  <c r="K90" i="1"/>
  <c r="L90" i="1"/>
  <c r="M90" i="1"/>
  <c r="C91" i="1"/>
  <c r="D91" i="1"/>
  <c r="E91" i="1"/>
  <c r="F91" i="1"/>
  <c r="G91" i="1"/>
  <c r="H91" i="1"/>
  <c r="I91" i="1"/>
  <c r="J91" i="1"/>
  <c r="K91" i="1"/>
  <c r="L91" i="1"/>
  <c r="M91" i="1"/>
  <c r="C92" i="1"/>
  <c r="D92" i="1"/>
  <c r="E92" i="1"/>
  <c r="F92" i="1"/>
  <c r="G92" i="1"/>
  <c r="H92" i="1"/>
  <c r="I92" i="1"/>
  <c r="J92" i="1"/>
  <c r="K92" i="1"/>
  <c r="L92" i="1"/>
  <c r="M92" i="1"/>
  <c r="C93" i="1"/>
  <c r="D93" i="1"/>
  <c r="E93" i="1"/>
  <c r="F93" i="1"/>
  <c r="G93" i="1"/>
  <c r="H93" i="1"/>
  <c r="I93" i="1"/>
  <c r="J93" i="1"/>
  <c r="K93" i="1"/>
  <c r="L93" i="1"/>
  <c r="M93" i="1"/>
  <c r="C94" i="1"/>
  <c r="D94" i="1"/>
  <c r="E94" i="1"/>
  <c r="F94" i="1"/>
  <c r="G94" i="1"/>
  <c r="H94" i="1"/>
  <c r="I94" i="1"/>
  <c r="J94" i="1"/>
  <c r="K94" i="1"/>
  <c r="L94" i="1"/>
  <c r="M94" i="1"/>
  <c r="C95" i="1"/>
  <c r="D95" i="1"/>
  <c r="E95" i="1"/>
  <c r="F95" i="1"/>
  <c r="G95" i="1"/>
  <c r="H95" i="1"/>
  <c r="I95" i="1"/>
  <c r="J95" i="1"/>
  <c r="K95" i="1"/>
  <c r="L95" i="1"/>
  <c r="M95" i="1"/>
  <c r="C96" i="1"/>
  <c r="D96" i="1"/>
  <c r="E96" i="1"/>
  <c r="F96" i="1"/>
  <c r="G96" i="1"/>
  <c r="H96" i="1"/>
  <c r="I96" i="1"/>
  <c r="J96" i="1"/>
  <c r="K96" i="1"/>
  <c r="L96" i="1"/>
  <c r="M96" i="1"/>
  <c r="C97" i="1"/>
  <c r="D97" i="1"/>
  <c r="E97" i="1"/>
  <c r="F97" i="1"/>
  <c r="G97" i="1"/>
  <c r="H97" i="1"/>
  <c r="I97" i="1"/>
  <c r="J97" i="1"/>
  <c r="K97" i="1"/>
  <c r="L97" i="1"/>
  <c r="M97" i="1"/>
  <c r="C98" i="1"/>
  <c r="D98" i="1"/>
  <c r="E98" i="1"/>
  <c r="F98" i="1"/>
  <c r="G98" i="1"/>
  <c r="H98" i="1"/>
  <c r="I98" i="1"/>
  <c r="J98" i="1"/>
  <c r="K98" i="1"/>
  <c r="L98" i="1"/>
  <c r="M98" i="1"/>
  <c r="C99" i="1"/>
  <c r="D99" i="1"/>
  <c r="E99" i="1"/>
  <c r="F99" i="1"/>
  <c r="G99" i="1"/>
  <c r="H99" i="1"/>
  <c r="I99" i="1"/>
  <c r="J99" i="1"/>
  <c r="K99" i="1"/>
  <c r="L99" i="1"/>
  <c r="M99" i="1"/>
  <c r="C100" i="1"/>
  <c r="D100" i="1"/>
  <c r="E100" i="1"/>
  <c r="F100" i="1"/>
  <c r="G100" i="1"/>
  <c r="H100" i="1"/>
  <c r="I100" i="1"/>
  <c r="J100" i="1"/>
  <c r="K100" i="1"/>
  <c r="L100" i="1"/>
  <c r="M100" i="1"/>
  <c r="C101" i="1"/>
  <c r="D101" i="1"/>
  <c r="E101" i="1"/>
  <c r="F101" i="1"/>
  <c r="G101" i="1"/>
  <c r="H101" i="1"/>
  <c r="I101" i="1"/>
  <c r="J101" i="1"/>
  <c r="K101" i="1"/>
  <c r="L101" i="1"/>
  <c r="M101" i="1"/>
  <c r="C102" i="1"/>
  <c r="D102" i="1"/>
  <c r="E102" i="1"/>
  <c r="F102" i="1"/>
  <c r="G102" i="1"/>
  <c r="H102" i="1"/>
  <c r="I102" i="1"/>
  <c r="J102" i="1"/>
  <c r="K102" i="1"/>
  <c r="L102" i="1"/>
  <c r="M102" i="1"/>
  <c r="C103" i="1"/>
  <c r="D103" i="1"/>
  <c r="E103" i="1"/>
  <c r="F103" i="1"/>
  <c r="G103" i="1"/>
  <c r="H103" i="1"/>
  <c r="I103" i="1"/>
  <c r="J103" i="1"/>
  <c r="K103" i="1"/>
  <c r="L103" i="1"/>
  <c r="M103" i="1"/>
  <c r="C104" i="1"/>
  <c r="D104" i="1"/>
  <c r="E104" i="1"/>
  <c r="F104" i="1"/>
  <c r="G104" i="1"/>
  <c r="H104" i="1"/>
  <c r="I104" i="1"/>
  <c r="J104" i="1"/>
  <c r="K104" i="1"/>
  <c r="L104" i="1"/>
  <c r="M104" i="1"/>
  <c r="C105" i="1"/>
  <c r="D105" i="1"/>
  <c r="E105" i="1"/>
  <c r="F105" i="1"/>
  <c r="G105" i="1"/>
  <c r="H105" i="1"/>
  <c r="I105" i="1"/>
  <c r="J105" i="1"/>
  <c r="K105" i="1"/>
  <c r="L105" i="1"/>
  <c r="M105" i="1"/>
  <c r="C106" i="1"/>
  <c r="D106" i="1"/>
  <c r="E106" i="1"/>
  <c r="F106" i="1"/>
  <c r="G106" i="1"/>
  <c r="H106" i="1"/>
  <c r="I106" i="1"/>
  <c r="J106" i="1"/>
  <c r="K106" i="1"/>
  <c r="L106" i="1"/>
  <c r="M106" i="1"/>
  <c r="C107" i="1"/>
  <c r="D107" i="1"/>
  <c r="E107" i="1"/>
  <c r="F107" i="1"/>
  <c r="G107" i="1"/>
  <c r="H107" i="1"/>
  <c r="I107" i="1"/>
  <c r="J107" i="1"/>
  <c r="K107" i="1"/>
  <c r="L107" i="1"/>
  <c r="M107" i="1"/>
  <c r="C108" i="1"/>
  <c r="D108" i="1"/>
  <c r="E108" i="1"/>
  <c r="F108" i="1"/>
  <c r="G108" i="1"/>
  <c r="H108" i="1"/>
  <c r="I108" i="1"/>
  <c r="J108" i="1"/>
  <c r="K108" i="1"/>
  <c r="L108" i="1"/>
  <c r="M108" i="1"/>
  <c r="C109" i="1"/>
  <c r="D109" i="1"/>
  <c r="E109" i="1"/>
  <c r="F109" i="1"/>
  <c r="G109" i="1"/>
  <c r="H109" i="1"/>
  <c r="I109" i="1"/>
  <c r="J109" i="1"/>
  <c r="K109" i="1"/>
  <c r="L109" i="1"/>
  <c r="M109" i="1"/>
  <c r="C110" i="1"/>
  <c r="D110" i="1"/>
  <c r="E110" i="1"/>
  <c r="F110" i="1"/>
  <c r="C111" i="1"/>
  <c r="D111" i="1"/>
  <c r="E111" i="1"/>
  <c r="F111" i="1"/>
  <c r="G111" i="1"/>
  <c r="H111" i="1"/>
  <c r="I111" i="1"/>
  <c r="J111" i="1"/>
  <c r="K111" i="1"/>
  <c r="L111" i="1"/>
  <c r="M111" i="1"/>
  <c r="C112" i="1"/>
  <c r="D112" i="1"/>
  <c r="E112" i="1"/>
  <c r="F112" i="1"/>
  <c r="G112" i="1"/>
  <c r="H112" i="1"/>
  <c r="I112" i="1"/>
  <c r="J112" i="1"/>
  <c r="K112" i="1"/>
  <c r="L112" i="1"/>
  <c r="M112" i="1"/>
  <c r="C113" i="1"/>
  <c r="D113" i="1"/>
  <c r="E113" i="1"/>
  <c r="F113" i="1"/>
  <c r="G113" i="1"/>
  <c r="H113" i="1"/>
  <c r="I113" i="1"/>
  <c r="J113" i="1"/>
  <c r="K113" i="1"/>
  <c r="L113" i="1"/>
  <c r="M113" i="1"/>
  <c r="C114" i="1"/>
  <c r="D114" i="1"/>
  <c r="E114" i="1"/>
  <c r="F114" i="1"/>
  <c r="F70" i="1"/>
  <c r="G70" i="1"/>
  <c r="H70" i="1"/>
  <c r="F74" i="1"/>
  <c r="G74" i="1"/>
  <c r="H74" i="1"/>
  <c r="F59" i="1"/>
  <c r="G59" i="1"/>
  <c r="H59" i="1"/>
  <c r="F67" i="1"/>
  <c r="G67" i="1"/>
  <c r="H67" i="1"/>
  <c r="D80" i="1"/>
  <c r="E80" i="1"/>
  <c r="F80" i="1"/>
  <c r="G80" i="1"/>
  <c r="H80" i="1"/>
  <c r="C80" i="1"/>
  <c r="B80" i="1"/>
  <c r="N29" i="5"/>
  <c r="M37" i="5"/>
  <c r="M86" i="1" s="1"/>
  <c r="M85" i="1"/>
  <c r="N80" i="1" l="1"/>
  <c r="L115" i="1"/>
  <c r="H115" i="1"/>
  <c r="D115" i="1"/>
  <c r="K115" i="1"/>
  <c r="C115" i="1"/>
  <c r="J115" i="1"/>
  <c r="F115" i="1"/>
  <c r="M115" i="1"/>
  <c r="I115" i="1"/>
  <c r="E115" i="1"/>
  <c r="G115" i="1"/>
  <c r="C33" i="26"/>
  <c r="F31" i="26"/>
  <c r="N13" i="8"/>
  <c r="N12" i="8"/>
  <c r="N11" i="8"/>
  <c r="N3" i="4"/>
  <c r="N15" i="21"/>
  <c r="N6" i="4"/>
  <c r="C18" i="11"/>
  <c r="D18" i="11" s="1"/>
  <c r="F18" i="11"/>
  <c r="G18" i="11" s="1"/>
  <c r="I18" i="11"/>
  <c r="J18" i="11" s="1"/>
  <c r="L18" i="11"/>
  <c r="M18" i="11" s="1"/>
  <c r="O18" i="11"/>
  <c r="P18" i="11" s="1"/>
  <c r="R18" i="11"/>
  <c r="S18" i="11" s="1"/>
  <c r="E26" i="11"/>
  <c r="H26" i="11"/>
  <c r="K26" i="11"/>
  <c r="N26" i="11"/>
  <c r="B26" i="11"/>
  <c r="N9" i="10"/>
  <c r="I25" i="11"/>
  <c r="J25" i="11" s="1"/>
  <c r="F25" i="11"/>
  <c r="G25" i="11" s="1"/>
  <c r="C25" i="11"/>
  <c r="D25" i="11" s="1"/>
  <c r="L25" i="11"/>
  <c r="M25" i="11" s="1"/>
  <c r="O25" i="11"/>
  <c r="P25" i="11" s="1"/>
  <c r="R25" i="11"/>
  <c r="S25" i="11" s="1"/>
  <c r="R23" i="11"/>
  <c r="S23" i="11" s="1"/>
  <c r="O23" i="11"/>
  <c r="P23" i="11" s="1"/>
  <c r="C22" i="11"/>
  <c r="D22" i="11" s="1"/>
  <c r="F22" i="11"/>
  <c r="G22" i="11" s="1"/>
  <c r="I22" i="11"/>
  <c r="J22" i="11" s="1"/>
  <c r="L22" i="11"/>
  <c r="M22" i="11" s="1"/>
  <c r="O22" i="11"/>
  <c r="P22" i="11" s="1"/>
  <c r="R22" i="11"/>
  <c r="S22" i="11" s="1"/>
  <c r="I13" i="11"/>
  <c r="J13" i="11" s="1"/>
  <c r="L13" i="11"/>
  <c r="M13" i="11" s="1"/>
  <c r="O13" i="11"/>
  <c r="P13" i="11" s="1"/>
  <c r="R13" i="11"/>
  <c r="S13" i="11" s="1"/>
  <c r="F13" i="11"/>
  <c r="G13" i="11" s="1"/>
  <c r="C13" i="11"/>
  <c r="D13" i="11" s="1"/>
  <c r="I9" i="11"/>
  <c r="J9" i="11"/>
  <c r="L9" i="11"/>
  <c r="M9" i="11" s="1"/>
  <c r="O9" i="11"/>
  <c r="P9" i="11" s="1"/>
  <c r="R9" i="11"/>
  <c r="S9" i="11" s="1"/>
  <c r="F9" i="11"/>
  <c r="G9" i="11" s="1"/>
  <c r="C9" i="11"/>
  <c r="C4" i="11"/>
  <c r="D4" i="11" s="1"/>
  <c r="G4" i="11"/>
  <c r="I4" i="11"/>
  <c r="J4" i="11" s="1"/>
  <c r="L4" i="11"/>
  <c r="M4" i="11" s="1"/>
  <c r="O4" i="11"/>
  <c r="P4" i="11" s="1"/>
  <c r="R4" i="11"/>
  <c r="S4" i="11" s="1"/>
  <c r="C5" i="11"/>
  <c r="D5" i="11" s="1"/>
  <c r="G5" i="11"/>
  <c r="I5" i="11"/>
  <c r="J5" i="11" s="1"/>
  <c r="L5" i="11"/>
  <c r="M5" i="11" s="1"/>
  <c r="O5" i="11"/>
  <c r="P5" i="11" s="1"/>
  <c r="R5" i="11"/>
  <c r="S5" i="11" s="1"/>
  <c r="N7" i="10"/>
  <c r="O3" i="3"/>
  <c r="N3" i="3"/>
  <c r="N31" i="26" l="1"/>
  <c r="F44" i="26"/>
  <c r="C44" i="26"/>
  <c r="N33" i="26"/>
  <c r="N3" i="8"/>
  <c r="E46" i="9"/>
  <c r="H46" i="9"/>
  <c r="K46" i="9"/>
  <c r="N46" i="9"/>
  <c r="C26" i="9"/>
  <c r="D26" i="9" s="1"/>
  <c r="F26" i="9"/>
  <c r="G26" i="9" s="1"/>
  <c r="I26" i="9"/>
  <c r="J26" i="9" s="1"/>
  <c r="L26" i="9"/>
  <c r="M26" i="9" s="1"/>
  <c r="O26" i="9"/>
  <c r="P26" i="9" s="1"/>
  <c r="R26" i="9"/>
  <c r="S26" i="9" s="1"/>
  <c r="C41" i="9"/>
  <c r="D41" i="9" s="1"/>
  <c r="F41" i="9"/>
  <c r="G41" i="9" s="1"/>
  <c r="I41" i="9"/>
  <c r="J41" i="9" s="1"/>
  <c r="L41" i="9"/>
  <c r="M41" i="9" s="1"/>
  <c r="O41" i="9"/>
  <c r="P41" i="9" s="1"/>
  <c r="R41" i="9"/>
  <c r="C42" i="9"/>
  <c r="D42" i="9" s="1"/>
  <c r="F42" i="9"/>
  <c r="G42" i="9" s="1"/>
  <c r="I42" i="9"/>
  <c r="J42" i="9" s="1"/>
  <c r="L42" i="9"/>
  <c r="M42" i="9" s="1"/>
  <c r="O42" i="9"/>
  <c r="P42" i="9" s="1"/>
  <c r="R42" i="9"/>
  <c r="C43" i="9"/>
  <c r="D43" i="9" s="1"/>
  <c r="F43" i="9"/>
  <c r="G43" i="9" s="1"/>
  <c r="I43" i="9"/>
  <c r="J43" i="9" s="1"/>
  <c r="L43" i="9"/>
  <c r="M43" i="9" s="1"/>
  <c r="O43" i="9"/>
  <c r="P43" i="9" s="1"/>
  <c r="R43" i="9"/>
  <c r="S43" i="9" s="1"/>
  <c r="C44" i="9"/>
  <c r="D44" i="9" s="1"/>
  <c r="F44" i="9"/>
  <c r="G44" i="9" s="1"/>
  <c r="I44" i="9"/>
  <c r="J44" i="9" s="1"/>
  <c r="L44" i="9"/>
  <c r="M44" i="9" s="1"/>
  <c r="O44" i="9"/>
  <c r="P44" i="9" s="1"/>
  <c r="R44" i="9"/>
  <c r="S44" i="9" s="1"/>
  <c r="C45" i="9"/>
  <c r="D45" i="9" s="1"/>
  <c r="F45" i="9"/>
  <c r="G45" i="9" s="1"/>
  <c r="I45" i="9"/>
  <c r="J45" i="9" s="1"/>
  <c r="L45" i="9"/>
  <c r="M45" i="9" s="1"/>
  <c r="O45" i="9"/>
  <c r="P45" i="9" s="1"/>
  <c r="R45" i="9"/>
  <c r="C35" i="9"/>
  <c r="D35" i="9" s="1"/>
  <c r="F35" i="9"/>
  <c r="G35" i="9" s="1"/>
  <c r="I35" i="9"/>
  <c r="J35" i="9" s="1"/>
  <c r="L35" i="9"/>
  <c r="M35" i="9" s="1"/>
  <c r="O35" i="9"/>
  <c r="P35" i="9" s="1"/>
  <c r="Q35" i="9"/>
  <c r="R35" i="9" s="1"/>
  <c r="S35" i="9" s="1"/>
  <c r="C34" i="9"/>
  <c r="D34" i="9" s="1"/>
  <c r="F34" i="9"/>
  <c r="G34" i="9" s="1"/>
  <c r="I34" i="9"/>
  <c r="J34" i="9" s="1"/>
  <c r="L34" i="9"/>
  <c r="M34" i="9" s="1"/>
  <c r="O34" i="9"/>
  <c r="P34" i="9" s="1"/>
  <c r="R34" i="9"/>
  <c r="C29" i="9"/>
  <c r="D29" i="9" s="1"/>
  <c r="F29" i="9"/>
  <c r="G29" i="9" s="1"/>
  <c r="I29" i="9"/>
  <c r="J29" i="9" s="1"/>
  <c r="L29" i="9"/>
  <c r="M29" i="9" s="1"/>
  <c r="O29" i="9"/>
  <c r="P29" i="9" s="1"/>
  <c r="R29" i="9"/>
  <c r="S29" i="9" s="1"/>
  <c r="C30" i="9"/>
  <c r="D30" i="9" s="1"/>
  <c r="F30" i="9"/>
  <c r="G30" i="9" s="1"/>
  <c r="I30" i="9"/>
  <c r="J30" i="9" s="1"/>
  <c r="L30" i="9"/>
  <c r="M30" i="9" s="1"/>
  <c r="O30" i="9"/>
  <c r="P30" i="9" s="1"/>
  <c r="R30" i="9"/>
  <c r="S30" i="9" s="1"/>
  <c r="C23" i="9"/>
  <c r="D23" i="9" s="1"/>
  <c r="F23" i="9"/>
  <c r="G23" i="9" s="1"/>
  <c r="I23" i="9"/>
  <c r="J23" i="9" s="1"/>
  <c r="L23" i="9"/>
  <c r="M23" i="9" s="1"/>
  <c r="O23" i="9"/>
  <c r="P23" i="9" s="1"/>
  <c r="R23" i="9"/>
  <c r="C24" i="9"/>
  <c r="D24" i="9" s="1"/>
  <c r="F24" i="9"/>
  <c r="G24" i="9" s="1"/>
  <c r="I24" i="9"/>
  <c r="J24" i="9" s="1"/>
  <c r="L24" i="9"/>
  <c r="M24" i="9" s="1"/>
  <c r="O24" i="9"/>
  <c r="P24" i="9" s="1"/>
  <c r="R24" i="9"/>
  <c r="C25" i="9"/>
  <c r="D25" i="9" s="1"/>
  <c r="F25" i="9"/>
  <c r="G25" i="9" s="1"/>
  <c r="I25" i="9"/>
  <c r="J25" i="9" s="1"/>
  <c r="L25" i="9"/>
  <c r="M25" i="9" s="1"/>
  <c r="O25" i="9"/>
  <c r="P25" i="9" s="1"/>
  <c r="R25" i="9"/>
  <c r="C27" i="9"/>
  <c r="D27" i="9" s="1"/>
  <c r="F27" i="9"/>
  <c r="G27" i="9" s="1"/>
  <c r="I27" i="9"/>
  <c r="J27" i="9" s="1"/>
  <c r="L27" i="9"/>
  <c r="M27" i="9" s="1"/>
  <c r="O27" i="9"/>
  <c r="P27" i="9" s="1"/>
  <c r="R27" i="9"/>
  <c r="C17" i="9"/>
  <c r="D17" i="9" s="1"/>
  <c r="F17" i="9"/>
  <c r="G17" i="9" s="1"/>
  <c r="I17" i="9"/>
  <c r="J17" i="9" s="1"/>
  <c r="L17" i="9"/>
  <c r="M17" i="9" s="1"/>
  <c r="O17" i="9"/>
  <c r="P17" i="9" s="1"/>
  <c r="R17" i="9"/>
  <c r="C18" i="9"/>
  <c r="D18" i="9" s="1"/>
  <c r="F18" i="9"/>
  <c r="G18" i="9" s="1"/>
  <c r="I18" i="9"/>
  <c r="J18" i="9" s="1"/>
  <c r="L18" i="9"/>
  <c r="M18" i="9" s="1"/>
  <c r="O18" i="9"/>
  <c r="P18" i="9" s="1"/>
  <c r="R18" i="9"/>
  <c r="C19" i="9"/>
  <c r="D19" i="9" s="1"/>
  <c r="F19" i="9"/>
  <c r="G19" i="9" s="1"/>
  <c r="I19" i="9"/>
  <c r="J19" i="9" s="1"/>
  <c r="L19" i="9"/>
  <c r="M19" i="9" s="1"/>
  <c r="O19" i="9"/>
  <c r="P19" i="9" s="1"/>
  <c r="R19" i="9"/>
  <c r="S19" i="9" s="1"/>
  <c r="C11" i="9"/>
  <c r="D11" i="9" s="1"/>
  <c r="F11" i="9"/>
  <c r="G11" i="9" s="1"/>
  <c r="I11" i="9"/>
  <c r="J11" i="9" s="1"/>
  <c r="L11" i="9"/>
  <c r="M11" i="9" s="1"/>
  <c r="O11" i="9"/>
  <c r="P11" i="9" s="1"/>
  <c r="R11" i="9"/>
  <c r="C12" i="9"/>
  <c r="D12" i="9" s="1"/>
  <c r="F12" i="9"/>
  <c r="G12" i="9" s="1"/>
  <c r="I12" i="9"/>
  <c r="J12" i="9" s="1"/>
  <c r="L12" i="9"/>
  <c r="M12" i="9" s="1"/>
  <c r="O12" i="9"/>
  <c r="P12" i="9" s="1"/>
  <c r="R12" i="9"/>
  <c r="C10" i="9"/>
  <c r="D10" i="9" s="1"/>
  <c r="F10" i="9"/>
  <c r="G10" i="9" s="1"/>
  <c r="I10" i="9"/>
  <c r="J10" i="9" s="1"/>
  <c r="L10" i="9"/>
  <c r="M10" i="9" s="1"/>
  <c r="O10" i="9"/>
  <c r="P10" i="9" s="1"/>
  <c r="R10" i="9"/>
  <c r="S10" i="9" s="1"/>
  <c r="D7" i="9"/>
  <c r="F7" i="9"/>
  <c r="G7" i="9" s="1"/>
  <c r="I7" i="9"/>
  <c r="J7" i="9" s="1"/>
  <c r="L7" i="9"/>
  <c r="M7" i="9" s="1"/>
  <c r="O7" i="9"/>
  <c r="P7" i="9" s="1"/>
  <c r="R7" i="9"/>
  <c r="R5" i="9"/>
  <c r="O5" i="9"/>
  <c r="P5" i="9" s="1"/>
  <c r="F5" i="9"/>
  <c r="G5" i="9" s="1"/>
  <c r="I5" i="9"/>
  <c r="J5" i="9" s="1"/>
  <c r="L5" i="9"/>
  <c r="M5" i="9" s="1"/>
  <c r="D5" i="9"/>
  <c r="P6" i="2"/>
  <c r="O6" i="2"/>
  <c r="P25" i="2"/>
  <c r="O25" i="2"/>
  <c r="P21" i="2"/>
  <c r="O21" i="2"/>
  <c r="P12" i="2"/>
  <c r="O12" i="2"/>
  <c r="O8" i="2"/>
  <c r="S45" i="9" l="1"/>
  <c r="S41" i="9"/>
  <c r="S42" i="9"/>
  <c r="S34" i="9"/>
  <c r="S23" i="9"/>
  <c r="S5" i="9"/>
  <c r="S24" i="9"/>
  <c r="S25" i="9"/>
  <c r="S27" i="9"/>
  <c r="S17" i="9"/>
  <c r="S18" i="9"/>
  <c r="S11" i="9"/>
  <c r="S12" i="9"/>
  <c r="S7" i="9"/>
  <c r="C79" i="1" l="1"/>
  <c r="D79" i="1"/>
  <c r="E79" i="1"/>
  <c r="F79" i="1"/>
  <c r="G79" i="1"/>
  <c r="H79" i="1"/>
  <c r="C81" i="1"/>
  <c r="D81" i="1"/>
  <c r="E81" i="1"/>
  <c r="F81" i="1"/>
  <c r="G81" i="1"/>
  <c r="H81" i="1"/>
  <c r="C82" i="1"/>
  <c r="D82" i="1"/>
  <c r="E82" i="1"/>
  <c r="F82" i="1"/>
  <c r="G82" i="1"/>
  <c r="H82" i="1"/>
  <c r="C83" i="1"/>
  <c r="D83" i="1"/>
  <c r="E83" i="1"/>
  <c r="F83" i="1"/>
  <c r="G83" i="1"/>
  <c r="H83" i="1"/>
  <c r="C85" i="1"/>
  <c r="D85" i="1"/>
  <c r="E85" i="1"/>
  <c r="F85" i="1"/>
  <c r="G85" i="1"/>
  <c r="H85" i="1"/>
  <c r="C86" i="1"/>
  <c r="D86" i="1"/>
  <c r="E86" i="1"/>
  <c r="F86" i="1"/>
  <c r="G86" i="1"/>
  <c r="H86" i="1"/>
  <c r="B86" i="1"/>
  <c r="B85" i="1"/>
  <c r="B83" i="1"/>
  <c r="B82" i="1"/>
  <c r="N82" i="1" s="1"/>
  <c r="B81" i="1"/>
  <c r="B79" i="1"/>
  <c r="C54" i="1"/>
  <c r="D54" i="1"/>
  <c r="E54" i="1"/>
  <c r="F54" i="1"/>
  <c r="G54" i="1"/>
  <c r="H54" i="1"/>
  <c r="B54" i="1"/>
  <c r="N37" i="5"/>
  <c r="B38" i="5"/>
  <c r="N79" i="1" l="1"/>
  <c r="N85" i="1"/>
  <c r="N54" i="1"/>
  <c r="N81" i="1"/>
  <c r="N86" i="1"/>
  <c r="M7" i="19"/>
  <c r="L8" i="19"/>
  <c r="N8" i="19"/>
  <c r="O8" i="19"/>
  <c r="P7" i="19"/>
  <c r="K8" i="19"/>
  <c r="J7" i="19"/>
  <c r="C8" i="19"/>
  <c r="D7" i="19"/>
  <c r="F7" i="19"/>
  <c r="B8" i="19"/>
  <c r="E7" i="19"/>
  <c r="L11" i="2"/>
  <c r="L23" i="11"/>
  <c r="M23" i="11" s="1"/>
  <c r="L15" i="21"/>
  <c r="K16" i="21"/>
  <c r="K15" i="21"/>
  <c r="L5" i="21"/>
  <c r="K5" i="21"/>
  <c r="K6" i="4"/>
  <c r="Q38" i="9"/>
  <c r="R38" i="9" s="1"/>
  <c r="L38" i="9"/>
  <c r="M38" i="9" s="1"/>
  <c r="I38" i="9"/>
  <c r="J38" i="9" s="1"/>
  <c r="F38" i="9"/>
  <c r="G38" i="9" s="1"/>
  <c r="C38" i="9"/>
  <c r="D38" i="9" s="1"/>
  <c r="R20" i="9"/>
  <c r="O20" i="9"/>
  <c r="P20" i="9" s="1"/>
  <c r="L20" i="9"/>
  <c r="M20" i="9" s="1"/>
  <c r="I20" i="9"/>
  <c r="J20" i="9" s="1"/>
  <c r="F20" i="9"/>
  <c r="G20" i="9" s="1"/>
  <c r="G7" i="19" l="1"/>
  <c r="O38" i="9"/>
  <c r="P38" i="9" s="1"/>
  <c r="S38" i="9"/>
  <c r="S20" i="9"/>
  <c r="D11" i="5"/>
  <c r="J23" i="11"/>
  <c r="F23" i="11"/>
  <c r="G23" i="11" s="1"/>
  <c r="C23" i="11"/>
  <c r="D23" i="11" s="1"/>
  <c r="I14" i="11"/>
  <c r="I6" i="11"/>
  <c r="J11" i="21"/>
  <c r="K11" i="2"/>
  <c r="M11" i="2"/>
  <c r="P11" i="2" s="1"/>
  <c r="S11" i="2" s="1"/>
  <c r="D37" i="2" s="1"/>
  <c r="G37" i="2" s="1"/>
  <c r="J37" i="2" s="1"/>
  <c r="M37" i="2" s="1"/>
  <c r="H11" i="2"/>
  <c r="E11" i="2"/>
  <c r="I8" i="2"/>
  <c r="I6" i="2"/>
  <c r="N11" i="2" l="1"/>
  <c r="P37" i="2"/>
  <c r="Q11" i="2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8" i="5"/>
  <c r="N30" i="5"/>
  <c r="N31" i="5"/>
  <c r="N32" i="5"/>
  <c r="N33" i="5"/>
  <c r="N34" i="5"/>
  <c r="N36" i="5"/>
  <c r="T11" i="2" l="1"/>
  <c r="C37" i="2"/>
  <c r="S37" i="2"/>
  <c r="D63" i="23"/>
  <c r="D51" i="23"/>
  <c r="F37" i="2" l="1"/>
  <c r="E37" i="2"/>
  <c r="I7" i="10"/>
  <c r="J7" i="10" s="1"/>
  <c r="L7" i="10"/>
  <c r="O7" i="10"/>
  <c r="R7" i="10"/>
  <c r="F7" i="10"/>
  <c r="G7" i="10" s="1"/>
  <c r="C7" i="10"/>
  <c r="D7" i="10" s="1"/>
  <c r="I5" i="10"/>
  <c r="J5" i="10" s="1"/>
  <c r="L5" i="10"/>
  <c r="O5" i="10"/>
  <c r="R5" i="10"/>
  <c r="F5" i="10"/>
  <c r="G5" i="10" s="1"/>
  <c r="C5" i="10"/>
  <c r="D5" i="10" s="1"/>
  <c r="J11" i="11"/>
  <c r="L11" i="11"/>
  <c r="M11" i="11" s="1"/>
  <c r="O11" i="11"/>
  <c r="P11" i="11" s="1"/>
  <c r="R11" i="11"/>
  <c r="S11" i="11" s="1"/>
  <c r="J7" i="11"/>
  <c r="L7" i="11"/>
  <c r="M7" i="11" s="1"/>
  <c r="O7" i="11"/>
  <c r="P7" i="11" s="1"/>
  <c r="R7" i="11"/>
  <c r="S7" i="11" s="1"/>
  <c r="F17" i="11"/>
  <c r="G11" i="11"/>
  <c r="C11" i="11"/>
  <c r="D11" i="11" s="1"/>
  <c r="G7" i="11"/>
  <c r="C7" i="11"/>
  <c r="D7" i="11" s="1"/>
  <c r="H37" i="2" l="1"/>
  <c r="M5" i="10"/>
  <c r="S7" i="10"/>
  <c r="P7" i="10"/>
  <c r="M7" i="10"/>
  <c r="S5" i="10"/>
  <c r="P5" i="10"/>
  <c r="M13" i="2" l="1"/>
  <c r="L13" i="2"/>
  <c r="K13" i="2"/>
  <c r="O37" i="2" l="1"/>
  <c r="N37" i="2"/>
  <c r="L3" i="10"/>
  <c r="O3" i="10"/>
  <c r="P3" i="10" s="1"/>
  <c r="R3" i="10"/>
  <c r="L4" i="10"/>
  <c r="O4" i="10"/>
  <c r="R4" i="10"/>
  <c r="S4" i="10" s="1"/>
  <c r="L6" i="10"/>
  <c r="M6" i="10" s="1"/>
  <c r="O6" i="10"/>
  <c r="L8" i="10"/>
  <c r="M8" i="10" s="1"/>
  <c r="O8" i="10"/>
  <c r="P8" i="10" s="1"/>
  <c r="R8" i="10"/>
  <c r="I4" i="10"/>
  <c r="J4" i="10" s="1"/>
  <c r="I3" i="10"/>
  <c r="G3" i="10"/>
  <c r="F3" i="10"/>
  <c r="I3" i="9"/>
  <c r="I4" i="9"/>
  <c r="J4" i="9" s="1"/>
  <c r="I6" i="9"/>
  <c r="J6" i="9" s="1"/>
  <c r="I8" i="9"/>
  <c r="J8" i="9" s="1"/>
  <c r="I9" i="9"/>
  <c r="J9" i="9" s="1"/>
  <c r="I13" i="9"/>
  <c r="J13" i="9" s="1"/>
  <c r="I15" i="9"/>
  <c r="J15" i="9" s="1"/>
  <c r="I16" i="9"/>
  <c r="J16" i="9" s="1"/>
  <c r="I21" i="9"/>
  <c r="J21" i="9" s="1"/>
  <c r="I22" i="9"/>
  <c r="J22" i="9" s="1"/>
  <c r="I28" i="9"/>
  <c r="J28" i="9" s="1"/>
  <c r="I31" i="9"/>
  <c r="J31" i="9" s="1"/>
  <c r="I32" i="9"/>
  <c r="J32" i="9" s="1"/>
  <c r="I33" i="9"/>
  <c r="J33" i="9" s="1"/>
  <c r="I36" i="9"/>
  <c r="J36" i="9" s="1"/>
  <c r="I37" i="9"/>
  <c r="J37" i="9" s="1"/>
  <c r="I39" i="9"/>
  <c r="J39" i="9" s="1"/>
  <c r="I40" i="9"/>
  <c r="J40" i="9" s="1"/>
  <c r="L3" i="9"/>
  <c r="O3" i="9"/>
  <c r="Q3" i="9"/>
  <c r="R3" i="9" s="1"/>
  <c r="L4" i="9"/>
  <c r="M4" i="9" s="1"/>
  <c r="O4" i="9"/>
  <c r="P4" i="9" s="1"/>
  <c r="Q4" i="9"/>
  <c r="L6" i="9"/>
  <c r="M6" i="9" s="1"/>
  <c r="O6" i="9"/>
  <c r="P6" i="9" s="1"/>
  <c r="Q6" i="9"/>
  <c r="R6" i="9" s="1"/>
  <c r="L8" i="9"/>
  <c r="M8" i="9" s="1"/>
  <c r="O8" i="9"/>
  <c r="P8" i="9" s="1"/>
  <c r="Q8" i="9"/>
  <c r="R8" i="9" s="1"/>
  <c r="L9" i="9"/>
  <c r="M9" i="9" s="1"/>
  <c r="O9" i="9"/>
  <c r="P9" i="9" s="1"/>
  <c r="R9" i="9"/>
  <c r="L13" i="9"/>
  <c r="M13" i="9" s="1"/>
  <c r="O13" i="9"/>
  <c r="P13" i="9" s="1"/>
  <c r="Q13" i="9"/>
  <c r="R13" i="9" s="1"/>
  <c r="L15" i="9"/>
  <c r="M15" i="9" s="1"/>
  <c r="O15" i="9"/>
  <c r="P15" i="9" s="1"/>
  <c r="Q15" i="9"/>
  <c r="R15" i="9" s="1"/>
  <c r="L16" i="9"/>
  <c r="M16" i="9" s="1"/>
  <c r="O16" i="9"/>
  <c r="P16" i="9" s="1"/>
  <c r="R16" i="9"/>
  <c r="L21" i="9"/>
  <c r="M21" i="9" s="1"/>
  <c r="O21" i="9"/>
  <c r="P21" i="9" s="1"/>
  <c r="Q21" i="9"/>
  <c r="R21" i="9" s="1"/>
  <c r="L22" i="9"/>
  <c r="M22" i="9" s="1"/>
  <c r="O22" i="9"/>
  <c r="P22" i="9" s="1"/>
  <c r="Q22" i="9"/>
  <c r="R22" i="9" s="1"/>
  <c r="L28" i="9"/>
  <c r="M28" i="9" s="1"/>
  <c r="O28" i="9"/>
  <c r="P28" i="9" s="1"/>
  <c r="Q28" i="9"/>
  <c r="R28" i="9" s="1"/>
  <c r="L31" i="9"/>
  <c r="M31" i="9" s="1"/>
  <c r="O31" i="9"/>
  <c r="P31" i="9" s="1"/>
  <c r="Q31" i="9"/>
  <c r="R31" i="9" s="1"/>
  <c r="L32" i="9"/>
  <c r="M32" i="9" s="1"/>
  <c r="O32" i="9"/>
  <c r="P32" i="9" s="1"/>
  <c r="R32" i="9"/>
  <c r="L33" i="9"/>
  <c r="M33" i="9" s="1"/>
  <c r="O33" i="9"/>
  <c r="P33" i="9" s="1"/>
  <c r="Q33" i="9"/>
  <c r="R33" i="9" s="1"/>
  <c r="L36" i="9"/>
  <c r="M36" i="9" s="1"/>
  <c r="O36" i="9"/>
  <c r="P36" i="9" s="1"/>
  <c r="Q36" i="9"/>
  <c r="R36" i="9" s="1"/>
  <c r="L37" i="9"/>
  <c r="M37" i="9" s="1"/>
  <c r="O37" i="9"/>
  <c r="P37" i="9" s="1"/>
  <c r="Q37" i="9"/>
  <c r="R37" i="9" s="1"/>
  <c r="L39" i="9"/>
  <c r="M39" i="9" s="1"/>
  <c r="O39" i="9"/>
  <c r="P39" i="9" s="1"/>
  <c r="Q39" i="9"/>
  <c r="R39" i="9" s="1"/>
  <c r="L40" i="9"/>
  <c r="M40" i="9" s="1"/>
  <c r="O40" i="9"/>
  <c r="P40" i="9" s="1"/>
  <c r="R40" i="9"/>
  <c r="E30" i="8"/>
  <c r="F30" i="8" s="1"/>
  <c r="E31" i="8"/>
  <c r="F31" i="8" s="1"/>
  <c r="E29" i="8"/>
  <c r="C30" i="8"/>
  <c r="D30" i="8" s="1"/>
  <c r="C31" i="8"/>
  <c r="D31" i="8"/>
  <c r="F19" i="8"/>
  <c r="F20" i="8"/>
  <c r="E21" i="8"/>
  <c r="F21" i="8" s="1"/>
  <c r="F22" i="8"/>
  <c r="H22" i="8" s="1"/>
  <c r="I22" i="8" s="1"/>
  <c r="F24" i="8"/>
  <c r="G24" i="8" s="1"/>
  <c r="F27" i="8"/>
  <c r="H32" i="8"/>
  <c r="B32" i="8"/>
  <c r="N31" i="8"/>
  <c r="I31" i="8"/>
  <c r="J31" i="8" s="1"/>
  <c r="K32" i="8"/>
  <c r="I30" i="8"/>
  <c r="N29" i="8"/>
  <c r="O29" i="8" s="1"/>
  <c r="M29" i="8"/>
  <c r="I29" i="8"/>
  <c r="J29" i="8" s="1"/>
  <c r="F29" i="8"/>
  <c r="C29" i="8"/>
  <c r="B28" i="8"/>
  <c r="K27" i="8"/>
  <c r="N27" i="8" s="1"/>
  <c r="I27" i="8"/>
  <c r="J27" i="8" s="1"/>
  <c r="C27" i="8"/>
  <c r="D27" i="8" s="1"/>
  <c r="K24" i="8"/>
  <c r="I24" i="8"/>
  <c r="J24" i="8" s="1"/>
  <c r="C24" i="8"/>
  <c r="D24" i="8" s="1"/>
  <c r="C22" i="8"/>
  <c r="D22" i="8" s="1"/>
  <c r="R21" i="8"/>
  <c r="S21" i="8" s="1"/>
  <c r="N21" i="8"/>
  <c r="O21" i="8" s="1"/>
  <c r="P21" i="8" s="1"/>
  <c r="L21" i="8"/>
  <c r="M21" i="8" s="1"/>
  <c r="I21" i="8"/>
  <c r="J21" i="8" s="1"/>
  <c r="C21" i="8"/>
  <c r="D21" i="8" s="1"/>
  <c r="K20" i="8"/>
  <c r="N20" i="8" s="1"/>
  <c r="I20" i="8"/>
  <c r="J20" i="8" s="1"/>
  <c r="C20" i="8"/>
  <c r="D20" i="8" s="1"/>
  <c r="K19" i="8"/>
  <c r="L19" i="8" s="1"/>
  <c r="I19" i="8"/>
  <c r="J19" i="8" s="1"/>
  <c r="C19" i="8"/>
  <c r="K18" i="8"/>
  <c r="N18" i="8" s="1"/>
  <c r="I18" i="8"/>
  <c r="F18" i="8"/>
  <c r="G18" i="8" s="1"/>
  <c r="C18" i="8"/>
  <c r="J22" i="8" l="1"/>
  <c r="K22" i="8"/>
  <c r="H28" i="8"/>
  <c r="H33" i="8" s="1"/>
  <c r="Q29" i="8"/>
  <c r="L27" i="8"/>
  <c r="M27" i="8" s="1"/>
  <c r="M19" i="8"/>
  <c r="D19" i="8"/>
  <c r="C28" i="8"/>
  <c r="H32" i="1" s="1"/>
  <c r="G22" i="8"/>
  <c r="O18" i="8"/>
  <c r="P18" i="8" s="1"/>
  <c r="Q18" i="8"/>
  <c r="O27" i="8"/>
  <c r="P27" i="8" s="1"/>
  <c r="Q27" i="8"/>
  <c r="L18" i="8"/>
  <c r="B33" i="8"/>
  <c r="G19" i="8"/>
  <c r="M18" i="8"/>
  <c r="N19" i="8"/>
  <c r="Q19" i="8" s="1"/>
  <c r="R19" i="8" s="1"/>
  <c r="S19" i="8" s="1"/>
  <c r="N30" i="8"/>
  <c r="Q30" i="8" s="1"/>
  <c r="R30" i="8" s="1"/>
  <c r="S30" i="8" s="1"/>
  <c r="G30" i="8"/>
  <c r="G21" i="8"/>
  <c r="R4" i="9"/>
  <c r="R46" i="9" s="1"/>
  <c r="Q46" i="9"/>
  <c r="J3" i="9"/>
  <c r="J46" i="9" s="1"/>
  <c r="I46" i="9"/>
  <c r="M3" i="9"/>
  <c r="M46" i="9" s="1"/>
  <c r="L46" i="9"/>
  <c r="P3" i="9"/>
  <c r="P46" i="9" s="1"/>
  <c r="O46" i="9"/>
  <c r="R37" i="2"/>
  <c r="T37" i="2" s="1"/>
  <c r="Q37" i="2"/>
  <c r="R6" i="10"/>
  <c r="S6" i="10" s="1"/>
  <c r="C18" i="10"/>
  <c r="D18" i="10" s="1"/>
  <c r="S3" i="10"/>
  <c r="P4" i="10"/>
  <c r="I8" i="10"/>
  <c r="J8" i="10" s="1"/>
  <c r="M3" i="10"/>
  <c r="S8" i="10"/>
  <c r="P6" i="10"/>
  <c r="M4" i="10"/>
  <c r="J6" i="10"/>
  <c r="J3" i="10"/>
  <c r="S40" i="9"/>
  <c r="S39" i="9"/>
  <c r="S37" i="9"/>
  <c r="S36" i="9"/>
  <c r="S33" i="9"/>
  <c r="S32" i="9"/>
  <c r="S31" i="9"/>
  <c r="S28" i="9"/>
  <c r="S22" i="9"/>
  <c r="S21" i="9"/>
  <c r="S16" i="9"/>
  <c r="S15" i="9"/>
  <c r="S13" i="9"/>
  <c r="S9" i="9"/>
  <c r="S8" i="9"/>
  <c r="S6" i="9"/>
  <c r="S3" i="9"/>
  <c r="E32" i="8"/>
  <c r="G31" i="8"/>
  <c r="C32" i="8"/>
  <c r="E28" i="8"/>
  <c r="G27" i="8"/>
  <c r="G20" i="8"/>
  <c r="L22" i="8"/>
  <c r="M22" i="8" s="1"/>
  <c r="Q20" i="8"/>
  <c r="Q31" i="8"/>
  <c r="O31" i="8"/>
  <c r="P31" i="8" s="1"/>
  <c r="I28" i="8"/>
  <c r="J32" i="1" s="1"/>
  <c r="J18" i="8"/>
  <c r="J28" i="8" s="1"/>
  <c r="J33" i="1" s="1"/>
  <c r="O20" i="8"/>
  <c r="P20" i="8" s="1"/>
  <c r="N24" i="8"/>
  <c r="L24" i="8"/>
  <c r="M24" i="8" s="1"/>
  <c r="F32" i="8"/>
  <c r="G29" i="8"/>
  <c r="G32" i="8" s="1"/>
  <c r="P29" i="8"/>
  <c r="I32" i="8"/>
  <c r="J30" i="8"/>
  <c r="J32" i="8" s="1"/>
  <c r="D18" i="8"/>
  <c r="D28" i="8" s="1"/>
  <c r="H33" i="1" s="1"/>
  <c r="R18" i="8"/>
  <c r="S18" i="8" s="1"/>
  <c r="L20" i="8"/>
  <c r="M20" i="8" s="1"/>
  <c r="K28" i="8"/>
  <c r="K33" i="8" s="1"/>
  <c r="N22" i="8"/>
  <c r="F28" i="8"/>
  <c r="I32" i="1" s="1"/>
  <c r="R27" i="8"/>
  <c r="S27" i="8" s="1"/>
  <c r="R29" i="8"/>
  <c r="L31" i="8"/>
  <c r="M31" i="8" s="1"/>
  <c r="N32" i="8"/>
  <c r="D29" i="8"/>
  <c r="D32" i="8" s="1"/>
  <c r="L30" i="8"/>
  <c r="E14" i="8"/>
  <c r="H14" i="8"/>
  <c r="N14" i="8"/>
  <c r="B14" i="8"/>
  <c r="E10" i="8"/>
  <c r="H10" i="8"/>
  <c r="B10" i="8"/>
  <c r="C8" i="8"/>
  <c r="D8" i="8" s="1"/>
  <c r="F8" i="8"/>
  <c r="G8" i="8" s="1"/>
  <c r="I8" i="8"/>
  <c r="J8" i="8" s="1"/>
  <c r="K8" i="8"/>
  <c r="L8" i="8" s="1"/>
  <c r="M8" i="8" s="1"/>
  <c r="C12" i="8"/>
  <c r="D12" i="8" s="1"/>
  <c r="F12" i="8"/>
  <c r="G12" i="8" s="1"/>
  <c r="I12" i="8"/>
  <c r="J12" i="8"/>
  <c r="K12" i="8"/>
  <c r="L12" i="8" s="1"/>
  <c r="C13" i="8"/>
  <c r="D13" i="8" s="1"/>
  <c r="F13" i="8"/>
  <c r="G13" i="8" s="1"/>
  <c r="I13" i="8"/>
  <c r="J13" i="8" s="1"/>
  <c r="K13" i="8"/>
  <c r="L13" i="8" s="1"/>
  <c r="I6" i="8"/>
  <c r="J6" i="8" s="1"/>
  <c r="L6" i="8"/>
  <c r="M6" i="8" s="1"/>
  <c r="C11" i="8"/>
  <c r="D11" i="8" s="1"/>
  <c r="F11" i="8"/>
  <c r="G11" i="8" s="1"/>
  <c r="G14" i="8" s="1"/>
  <c r="I11" i="8"/>
  <c r="J11" i="8" s="1"/>
  <c r="J14" i="8" s="1"/>
  <c r="L11" i="8"/>
  <c r="L14" i="8" s="1"/>
  <c r="O11" i="8"/>
  <c r="P11" i="8" s="1"/>
  <c r="F5" i="8"/>
  <c r="G5" i="8" s="1"/>
  <c r="I5" i="8"/>
  <c r="J5" i="8"/>
  <c r="K5" i="8"/>
  <c r="L5" i="8" s="1"/>
  <c r="C5" i="8"/>
  <c r="D5" i="8" s="1"/>
  <c r="B11" i="3"/>
  <c r="B12" i="3"/>
  <c r="E4" i="3"/>
  <c r="G4" i="3" s="1"/>
  <c r="F4" i="3"/>
  <c r="I4" i="3" s="1"/>
  <c r="L4" i="3" s="1"/>
  <c r="O4" i="3" s="1"/>
  <c r="R4" i="3" s="1"/>
  <c r="C11" i="3" s="1"/>
  <c r="F11" i="3" s="1"/>
  <c r="I11" i="3" s="1"/>
  <c r="L11" i="3" s="1"/>
  <c r="O11" i="3" s="1"/>
  <c r="R11" i="3" s="1"/>
  <c r="E5" i="3"/>
  <c r="H5" i="3" s="1"/>
  <c r="F5" i="3"/>
  <c r="I5" i="3" s="1"/>
  <c r="L5" i="3" s="1"/>
  <c r="O5" i="3" s="1"/>
  <c r="R5" i="3" s="1"/>
  <c r="C12" i="3" s="1"/>
  <c r="F12" i="3" s="1"/>
  <c r="I12" i="3" s="1"/>
  <c r="L12" i="3" s="1"/>
  <c r="G5" i="3"/>
  <c r="E6" i="3"/>
  <c r="G6" i="3" s="1"/>
  <c r="F6" i="3"/>
  <c r="I6" i="3" s="1"/>
  <c r="L6" i="3" s="1"/>
  <c r="O6" i="3" s="1"/>
  <c r="R6" i="3" s="1"/>
  <c r="I13" i="3" s="1"/>
  <c r="L13" i="3" s="1"/>
  <c r="O13" i="3" s="1"/>
  <c r="R13" i="3" s="1"/>
  <c r="D30" i="21"/>
  <c r="E30" i="21"/>
  <c r="H30" i="21" s="1"/>
  <c r="F30" i="21"/>
  <c r="I30" i="21" s="1"/>
  <c r="M30" i="21"/>
  <c r="N30" i="21"/>
  <c r="Q30" i="21" s="1"/>
  <c r="O30" i="21"/>
  <c r="R30" i="21" s="1"/>
  <c r="O29" i="21"/>
  <c r="N29" i="21"/>
  <c r="F26" i="21"/>
  <c r="I26" i="21" s="1"/>
  <c r="L26" i="21" s="1"/>
  <c r="O26" i="21" s="1"/>
  <c r="R26" i="21" s="1"/>
  <c r="E26" i="21"/>
  <c r="H26" i="21" s="1"/>
  <c r="D26" i="21"/>
  <c r="M5" i="21"/>
  <c r="J5" i="21"/>
  <c r="G5" i="21"/>
  <c r="D5" i="21"/>
  <c r="C10" i="4"/>
  <c r="B10" i="4"/>
  <c r="L18" i="4"/>
  <c r="O18" i="4" s="1"/>
  <c r="R18" i="4" s="1"/>
  <c r="J18" i="4"/>
  <c r="D6" i="4"/>
  <c r="E6" i="4"/>
  <c r="F6" i="4"/>
  <c r="J6" i="4"/>
  <c r="L6" i="4"/>
  <c r="O6" i="4" s="1"/>
  <c r="M18" i="4" l="1"/>
  <c r="O19" i="8"/>
  <c r="P19" i="8" s="1"/>
  <c r="Q32" i="8"/>
  <c r="O30" i="8"/>
  <c r="P30" i="8" s="1"/>
  <c r="I33" i="8"/>
  <c r="M28" i="8"/>
  <c r="K33" i="1" s="1"/>
  <c r="J33" i="8"/>
  <c r="S4" i="9"/>
  <c r="G28" i="8"/>
  <c r="I33" i="1" s="1"/>
  <c r="D33" i="8"/>
  <c r="J5" i="3"/>
  <c r="K5" i="3"/>
  <c r="M5" i="3" s="1"/>
  <c r="D14" i="8"/>
  <c r="H6" i="3"/>
  <c r="H4" i="3"/>
  <c r="M11" i="8"/>
  <c r="H15" i="8"/>
  <c r="R9" i="10"/>
  <c r="D12" i="3"/>
  <c r="B15" i="8"/>
  <c r="K14" i="8"/>
  <c r="C14" i="8"/>
  <c r="F33" i="8"/>
  <c r="C33" i="8"/>
  <c r="F14" i="8"/>
  <c r="S9" i="10"/>
  <c r="N18" i="4"/>
  <c r="Q18" i="4" s="1"/>
  <c r="S18" i="4" s="1"/>
  <c r="D11" i="3"/>
  <c r="I14" i="8"/>
  <c r="E15" i="8"/>
  <c r="E33" i="8"/>
  <c r="S46" i="9"/>
  <c r="E11" i="3"/>
  <c r="I16" i="10"/>
  <c r="C19" i="10"/>
  <c r="D19" i="10" s="1"/>
  <c r="C17" i="10"/>
  <c r="D17" i="10" s="1"/>
  <c r="F18" i="10"/>
  <c r="G18" i="10" s="1"/>
  <c r="O32" i="8"/>
  <c r="Q22" i="8"/>
  <c r="N28" i="8"/>
  <c r="N33" i="8" s="1"/>
  <c r="O22" i="8"/>
  <c r="P22" i="8" s="1"/>
  <c r="P32" i="8"/>
  <c r="M30" i="8"/>
  <c r="M32" i="8" s="1"/>
  <c r="L32" i="8"/>
  <c r="L28" i="8"/>
  <c r="K32" i="1" s="1"/>
  <c r="Q24" i="8"/>
  <c r="O24" i="8"/>
  <c r="P24" i="8" s="1"/>
  <c r="R31" i="8"/>
  <c r="R32" i="8" s="1"/>
  <c r="R20" i="8"/>
  <c r="S20" i="8" s="1"/>
  <c r="S29" i="8"/>
  <c r="M13" i="8"/>
  <c r="N8" i="8"/>
  <c r="O8" i="8" s="1"/>
  <c r="N5" i="8"/>
  <c r="O5" i="8" s="1"/>
  <c r="M5" i="8"/>
  <c r="M12" i="8"/>
  <c r="N5" i="3"/>
  <c r="G26" i="21"/>
  <c r="P30" i="21"/>
  <c r="J30" i="21"/>
  <c r="S30" i="21"/>
  <c r="G30" i="21"/>
  <c r="P5" i="21"/>
  <c r="J26" i="21"/>
  <c r="K26" i="21"/>
  <c r="M26" i="21" s="1"/>
  <c r="S5" i="21"/>
  <c r="G6" i="4"/>
  <c r="P18" i="4"/>
  <c r="M6" i="4"/>
  <c r="R6" i="4"/>
  <c r="C18" i="4" s="1"/>
  <c r="F18" i="4" s="1"/>
  <c r="M33" i="8" l="1"/>
  <c r="J16" i="10"/>
  <c r="G33" i="8"/>
  <c r="J4" i="3"/>
  <c r="K4" i="3"/>
  <c r="S31" i="8"/>
  <c r="L33" i="8"/>
  <c r="J6" i="3"/>
  <c r="K6" i="3"/>
  <c r="M14" i="8"/>
  <c r="N16" i="10"/>
  <c r="L16" i="10"/>
  <c r="H13" i="3"/>
  <c r="G13" i="3"/>
  <c r="G12" i="3"/>
  <c r="H12" i="3"/>
  <c r="G11" i="3"/>
  <c r="H11" i="3"/>
  <c r="S6" i="4"/>
  <c r="P6" i="4"/>
  <c r="I18" i="10"/>
  <c r="J18" i="10" s="1"/>
  <c r="H17" i="10"/>
  <c r="F17" i="10"/>
  <c r="G17" i="10" s="1"/>
  <c r="F19" i="10"/>
  <c r="G19" i="10" s="1"/>
  <c r="P28" i="8"/>
  <c r="L33" i="1" s="1"/>
  <c r="R22" i="8"/>
  <c r="Q28" i="8"/>
  <c r="Q33" i="8" s="1"/>
  <c r="S32" i="8"/>
  <c r="R24" i="8"/>
  <c r="S24" i="8" s="1"/>
  <c r="O28" i="8"/>
  <c r="L32" i="1" s="1"/>
  <c r="P5" i="8"/>
  <c r="R11" i="8"/>
  <c r="P8" i="8"/>
  <c r="Q8" i="8"/>
  <c r="R8" i="8" s="1"/>
  <c r="S8" i="8" s="1"/>
  <c r="Q5" i="8"/>
  <c r="R5" i="8" s="1"/>
  <c r="S5" i="8" s="1"/>
  <c r="O12" i="8"/>
  <c r="O13" i="8"/>
  <c r="P13" i="8" s="1"/>
  <c r="S4" i="3"/>
  <c r="P5" i="3"/>
  <c r="S5" i="3"/>
  <c r="S6" i="3"/>
  <c r="N26" i="21"/>
  <c r="P26" i="21" s="1"/>
  <c r="Q16" i="10" l="1"/>
  <c r="O16" i="10"/>
  <c r="M16" i="10"/>
  <c r="P33" i="8"/>
  <c r="Q26" i="21"/>
  <c r="S26" i="21" s="1"/>
  <c r="R28" i="8"/>
  <c r="M6" i="3"/>
  <c r="N6" i="3"/>
  <c r="P6" i="3" s="1"/>
  <c r="O33" i="8"/>
  <c r="M4" i="3"/>
  <c r="N4" i="3"/>
  <c r="P4" i="3" s="1"/>
  <c r="K13" i="3"/>
  <c r="J13" i="3"/>
  <c r="K12" i="3"/>
  <c r="J12" i="3"/>
  <c r="K11" i="3"/>
  <c r="J11" i="3"/>
  <c r="Q14" i="8"/>
  <c r="P12" i="8"/>
  <c r="P14" i="8" s="1"/>
  <c r="O14" i="8"/>
  <c r="S11" i="8"/>
  <c r="B18" i="4"/>
  <c r="I17" i="10"/>
  <c r="J17" i="10" s="1"/>
  <c r="I19" i="10"/>
  <c r="J19" i="10" s="1"/>
  <c r="L18" i="10"/>
  <c r="M18" i="10" s="1"/>
  <c r="N18" i="10"/>
  <c r="R16" i="10"/>
  <c r="S22" i="8"/>
  <c r="S28" i="8" s="1"/>
  <c r="M33" i="1" s="1"/>
  <c r="R13" i="8"/>
  <c r="S13" i="8" s="1"/>
  <c r="R12" i="8"/>
  <c r="S12" i="8" s="1"/>
  <c r="S16" i="10" l="1"/>
  <c r="P16" i="10"/>
  <c r="M32" i="1"/>
  <c r="R33" i="8"/>
  <c r="S33" i="8"/>
  <c r="N13" i="3"/>
  <c r="M13" i="3"/>
  <c r="M12" i="3"/>
  <c r="M11" i="3"/>
  <c r="N11" i="3"/>
  <c r="R14" i="8"/>
  <c r="S14" i="8"/>
  <c r="E18" i="4"/>
  <c r="D18" i="4"/>
  <c r="N17" i="10"/>
  <c r="L17" i="10"/>
  <c r="L19" i="10"/>
  <c r="M19" i="10" s="1"/>
  <c r="N19" i="10"/>
  <c r="Q18" i="10"/>
  <c r="O18" i="10"/>
  <c r="P18" i="10" s="1"/>
  <c r="K4" i="21"/>
  <c r="L4" i="21"/>
  <c r="O4" i="21" s="1"/>
  <c r="R4" i="21" s="1"/>
  <c r="K6" i="21"/>
  <c r="N6" i="21" s="1"/>
  <c r="L6" i="21"/>
  <c r="O6" i="21" s="1"/>
  <c r="R6" i="21" s="1"/>
  <c r="K7" i="21"/>
  <c r="L7" i="21"/>
  <c r="O7" i="21" s="1"/>
  <c r="R7" i="21" s="1"/>
  <c r="K8" i="21"/>
  <c r="L8" i="21"/>
  <c r="O8" i="21" s="1"/>
  <c r="R8" i="21" s="1"/>
  <c r="K9" i="21"/>
  <c r="N9" i="21" s="1"/>
  <c r="L9" i="21"/>
  <c r="O9" i="21" s="1"/>
  <c r="R9" i="21" s="1"/>
  <c r="K10" i="21"/>
  <c r="L10" i="21"/>
  <c r="K11" i="21"/>
  <c r="L11" i="21"/>
  <c r="O11" i="21" s="1"/>
  <c r="R11" i="21" s="1"/>
  <c r="K12" i="21"/>
  <c r="L12" i="21"/>
  <c r="O12" i="21" s="1"/>
  <c r="R12" i="21" s="1"/>
  <c r="K19" i="21"/>
  <c r="K18" i="21"/>
  <c r="N18" i="21" s="1"/>
  <c r="N21" i="10" l="1"/>
  <c r="M17" i="10"/>
  <c r="M21" i="10" s="1"/>
  <c r="L21" i="10"/>
  <c r="R18" i="10"/>
  <c r="O10" i="21"/>
  <c r="R10" i="21" s="1"/>
  <c r="Q13" i="3"/>
  <c r="S13" i="3" s="1"/>
  <c r="P13" i="3"/>
  <c r="S12" i="3"/>
  <c r="P12" i="3"/>
  <c r="Q11" i="3"/>
  <c r="S11" i="3" s="1"/>
  <c r="P11" i="3"/>
  <c r="G18" i="4"/>
  <c r="Q19" i="10"/>
  <c r="O19" i="10"/>
  <c r="Q17" i="10"/>
  <c r="O17" i="10"/>
  <c r="M11" i="21"/>
  <c r="M7" i="21"/>
  <c r="N7" i="21"/>
  <c r="Q7" i="21" s="1"/>
  <c r="S7" i="21" s="1"/>
  <c r="M10" i="21"/>
  <c r="M8" i="21"/>
  <c r="M6" i="21"/>
  <c r="M4" i="21"/>
  <c r="P9" i="21"/>
  <c r="Q9" i="21"/>
  <c r="S9" i="21" s="1"/>
  <c r="N10" i="21"/>
  <c r="Q10" i="21" s="1"/>
  <c r="P6" i="21"/>
  <c r="N11" i="21"/>
  <c r="N4" i="21"/>
  <c r="M12" i="21"/>
  <c r="M9" i="21"/>
  <c r="N12" i="21"/>
  <c r="Q12" i="21" s="1"/>
  <c r="S12" i="21" s="1"/>
  <c r="N8" i="21"/>
  <c r="Q8" i="21" s="1"/>
  <c r="S8" i="21" s="1"/>
  <c r="Q6" i="21"/>
  <c r="S6" i="21" s="1"/>
  <c r="Q18" i="21"/>
  <c r="R17" i="10" l="1"/>
  <c r="Q21" i="10"/>
  <c r="P17" i="10"/>
  <c r="O21" i="10"/>
  <c r="P19" i="10"/>
  <c r="S18" i="10"/>
  <c r="S10" i="21"/>
  <c r="R19" i="10"/>
  <c r="S19" i="10" s="1"/>
  <c r="P7" i="21"/>
  <c r="P8" i="21"/>
  <c r="P10" i="21"/>
  <c r="P12" i="21"/>
  <c r="P11" i="21"/>
  <c r="S11" i="21"/>
  <c r="P4" i="21"/>
  <c r="Q4" i="21"/>
  <c r="S4" i="21" s="1"/>
  <c r="K3" i="4"/>
  <c r="L3" i="4"/>
  <c r="K5" i="4"/>
  <c r="N5" i="4" s="1"/>
  <c r="L5" i="4"/>
  <c r="O5" i="4" s="1"/>
  <c r="K7" i="4"/>
  <c r="N7" i="4" s="1"/>
  <c r="K8" i="4"/>
  <c r="K9" i="4"/>
  <c r="M10" i="2"/>
  <c r="P10" i="2" s="1"/>
  <c r="S10" i="2" s="1"/>
  <c r="D36" i="2" s="1"/>
  <c r="L10" i="2"/>
  <c r="O10" i="2" s="1"/>
  <c r="J21" i="2"/>
  <c r="M21" i="2" s="1"/>
  <c r="K10" i="2"/>
  <c r="G6" i="2"/>
  <c r="J6" i="2" s="1"/>
  <c r="F6" i="2"/>
  <c r="G5" i="2"/>
  <c r="J5" i="2" s="1"/>
  <c r="M5" i="2" s="1"/>
  <c r="P5" i="2" s="1"/>
  <c r="S5" i="2" s="1"/>
  <c r="F5" i="2"/>
  <c r="I5" i="2" s="1"/>
  <c r="M3" i="4" l="1"/>
  <c r="P21" i="10"/>
  <c r="S17" i="10"/>
  <c r="S21" i="10" s="1"/>
  <c r="R21" i="10"/>
  <c r="N9" i="4"/>
  <c r="P5" i="4"/>
  <c r="M5" i="4"/>
  <c r="N8" i="4"/>
  <c r="F36" i="2"/>
  <c r="O36" i="2" s="1"/>
  <c r="C36" i="2"/>
  <c r="E36" i="2" s="1"/>
  <c r="Q10" i="2"/>
  <c r="G31" i="2"/>
  <c r="J31" i="2" s="1"/>
  <c r="M31" i="2" s="1"/>
  <c r="P31" i="2" s="1"/>
  <c r="S31" i="2" s="1"/>
  <c r="D31" i="2"/>
  <c r="G47" i="2"/>
  <c r="J47" i="2" s="1"/>
  <c r="M47" i="2" s="1"/>
  <c r="P47" i="2" s="1"/>
  <c r="S47" i="2" s="1"/>
  <c r="D47" i="2"/>
  <c r="K6" i="2"/>
  <c r="L5" i="2"/>
  <c r="N5" i="2" s="1"/>
  <c r="K5" i="2"/>
  <c r="D32" i="2"/>
  <c r="G32" i="2"/>
  <c r="J32" i="2" s="1"/>
  <c r="M32" i="2" s="1"/>
  <c r="P32" i="2" s="1"/>
  <c r="S32" i="2" s="1"/>
  <c r="G36" i="2"/>
  <c r="J36" i="2" s="1"/>
  <c r="M36" i="2" s="1"/>
  <c r="P36" i="2" s="1"/>
  <c r="S36" i="2" s="1"/>
  <c r="N10" i="2"/>
  <c r="T10" i="2"/>
  <c r="C16" i="2"/>
  <c r="E9" i="10"/>
  <c r="H9" i="10"/>
  <c r="I9" i="10"/>
  <c r="J9" i="10"/>
  <c r="K9" i="10"/>
  <c r="L9" i="10"/>
  <c r="M9" i="10"/>
  <c r="O9" i="10"/>
  <c r="P9" i="10"/>
  <c r="B9" i="10"/>
  <c r="C3" i="10"/>
  <c r="D3" i="10" s="1"/>
  <c r="O5" i="2" l="1"/>
  <c r="Q5" i="2" s="1"/>
  <c r="H36" i="2"/>
  <c r="N6" i="2"/>
  <c r="N36" i="2"/>
  <c r="Q36" i="2"/>
  <c r="R36" i="2"/>
  <c r="T36" i="2" s="1"/>
  <c r="B13" i="21"/>
  <c r="C20" i="21"/>
  <c r="H20" i="21"/>
  <c r="I20" i="21"/>
  <c r="B20" i="21"/>
  <c r="C13" i="21"/>
  <c r="C4" i="9"/>
  <c r="D4" i="9" s="1"/>
  <c r="C6" i="9"/>
  <c r="D6" i="9" s="1"/>
  <c r="C8" i="9"/>
  <c r="D8" i="9" s="1"/>
  <c r="C9" i="9"/>
  <c r="D9" i="9" s="1"/>
  <c r="C13" i="9"/>
  <c r="D13" i="9" s="1"/>
  <c r="C15" i="9"/>
  <c r="D15" i="9" s="1"/>
  <c r="C16" i="9"/>
  <c r="D16" i="9" s="1"/>
  <c r="C21" i="9"/>
  <c r="D21" i="9" s="1"/>
  <c r="C22" i="9"/>
  <c r="D22" i="9" s="1"/>
  <c r="C28" i="9"/>
  <c r="D28" i="9" s="1"/>
  <c r="C31" i="9"/>
  <c r="D31" i="9" s="1"/>
  <c r="C32" i="9"/>
  <c r="D32" i="9" s="1"/>
  <c r="C36" i="9"/>
  <c r="D36" i="9" s="1"/>
  <c r="C37" i="9"/>
  <c r="D37" i="9" s="1"/>
  <c r="C39" i="9"/>
  <c r="C40" i="9"/>
  <c r="D40" i="9" s="1"/>
  <c r="B33" i="9"/>
  <c r="D55" i="23"/>
  <c r="D5" i="23"/>
  <c r="D10" i="23"/>
  <c r="D16" i="23"/>
  <c r="D31" i="23"/>
  <c r="D45" i="23"/>
  <c r="C33" i="9" l="1"/>
  <c r="D33" i="9" s="1"/>
  <c r="B46" i="9"/>
  <c r="D39" i="9"/>
  <c r="D11" i="23"/>
  <c r="Q6" i="2"/>
  <c r="F31" i="2"/>
  <c r="C31" i="2"/>
  <c r="E31" i="2" s="1"/>
  <c r="T5" i="2"/>
  <c r="D56" i="23"/>
  <c r="D23" i="23"/>
  <c r="D32" i="23" s="1"/>
  <c r="H66" i="1"/>
  <c r="D57" i="23" l="1"/>
  <c r="H31" i="2"/>
  <c r="F32" i="2"/>
  <c r="C32" i="2"/>
  <c r="E32" i="2" s="1"/>
  <c r="T6" i="2"/>
  <c r="H32" i="2" l="1"/>
  <c r="D25" i="21"/>
  <c r="D27" i="21"/>
  <c r="D29" i="21"/>
  <c r="D35" i="21"/>
  <c r="D36" i="21"/>
  <c r="D31" i="21"/>
  <c r="D32" i="21"/>
  <c r="O31" i="2" l="1"/>
  <c r="N31" i="2"/>
  <c r="B10" i="23"/>
  <c r="O32" i="2" l="1"/>
  <c r="N32" i="2"/>
  <c r="R31" i="2"/>
  <c r="T31" i="2" s="1"/>
  <c r="Q31" i="2"/>
  <c r="Q32" i="2" l="1"/>
  <c r="R32" i="2"/>
  <c r="T32" i="2" s="1"/>
  <c r="O27" i="21" l="1"/>
  <c r="N27" i="21"/>
  <c r="F66" i="1" l="1"/>
  <c r="G66" i="1"/>
  <c r="F6" i="9" l="1"/>
  <c r="G6" i="9" s="1"/>
  <c r="S5" i="19" l="1"/>
  <c r="H8" i="27" l="1"/>
  <c r="I8" i="27" s="1"/>
  <c r="J8" i="27" s="1"/>
  <c r="K8" i="27" s="1"/>
  <c r="H10" i="27"/>
  <c r="I10" i="27" s="1"/>
  <c r="J10" i="27" s="1"/>
  <c r="K10" i="27" s="1"/>
  <c r="L10" i="27" s="1"/>
  <c r="M10" i="27" s="1"/>
  <c r="H11" i="27"/>
  <c r="I11" i="27" s="1"/>
  <c r="J11" i="27" s="1"/>
  <c r="K11" i="27" s="1"/>
  <c r="L11" i="27" s="1"/>
  <c r="M11" i="27" s="1"/>
  <c r="H13" i="27"/>
  <c r="I13" i="27" s="1"/>
  <c r="J13" i="27" s="1"/>
  <c r="K13" i="27" s="1"/>
  <c r="L13" i="27" s="1"/>
  <c r="M13" i="27" s="1"/>
  <c r="H16" i="27"/>
  <c r="I16" i="27" s="1"/>
  <c r="J16" i="27" s="1"/>
  <c r="K16" i="27" s="1"/>
  <c r="L16" i="27" s="1"/>
  <c r="M16" i="27" s="1"/>
  <c r="F9" i="27"/>
  <c r="F10" i="27"/>
  <c r="F11" i="27"/>
  <c r="F12" i="27"/>
  <c r="G12" i="27" s="1"/>
  <c r="H12" i="27" s="1"/>
  <c r="I12" i="27" s="1"/>
  <c r="J12" i="27" s="1"/>
  <c r="K12" i="27" s="1"/>
  <c r="L12" i="27" s="1"/>
  <c r="M12" i="27" s="1"/>
  <c r="F13" i="27"/>
  <c r="F14" i="27"/>
  <c r="G14" i="27" s="1"/>
  <c r="H14" i="27" s="1"/>
  <c r="I14" i="27" s="1"/>
  <c r="J14" i="27" s="1"/>
  <c r="K14" i="27" s="1"/>
  <c r="L14" i="27" s="1"/>
  <c r="M14" i="27" s="1"/>
  <c r="F15" i="27"/>
  <c r="G15" i="27" s="1"/>
  <c r="H15" i="27" s="1"/>
  <c r="I15" i="27" s="1"/>
  <c r="J15" i="27" s="1"/>
  <c r="K15" i="27" s="1"/>
  <c r="L15" i="27" s="1"/>
  <c r="M15" i="27" s="1"/>
  <c r="F16" i="27"/>
  <c r="F17" i="27"/>
  <c r="G17" i="27" s="1"/>
  <c r="H17" i="27" s="1"/>
  <c r="I17" i="27" s="1"/>
  <c r="J17" i="27" s="1"/>
  <c r="K17" i="27" s="1"/>
  <c r="L17" i="27" s="1"/>
  <c r="M17" i="27" s="1"/>
  <c r="F18" i="27"/>
  <c r="G18" i="27" s="1"/>
  <c r="H18" i="27" s="1"/>
  <c r="I18" i="27" s="1"/>
  <c r="J18" i="27" s="1"/>
  <c r="K18" i="27" s="1"/>
  <c r="L18" i="27" s="1"/>
  <c r="M18" i="27" s="1"/>
  <c r="F8" i="27"/>
  <c r="C19" i="27"/>
  <c r="D19" i="27"/>
  <c r="E19" i="27"/>
  <c r="B19" i="27"/>
  <c r="H12" i="22"/>
  <c r="I12" i="22" s="1"/>
  <c r="J12" i="22" s="1"/>
  <c r="K12" i="22" s="1"/>
  <c r="L12" i="22" s="1"/>
  <c r="M12" i="22" s="1"/>
  <c r="H14" i="22"/>
  <c r="I14" i="22" s="1"/>
  <c r="J14" i="22" s="1"/>
  <c r="K14" i="22" s="1"/>
  <c r="L14" i="22" s="1"/>
  <c r="M14" i="22" s="1"/>
  <c r="H17" i="22"/>
  <c r="I17" i="22" s="1"/>
  <c r="J17" i="22" s="1"/>
  <c r="K17" i="22" s="1"/>
  <c r="L17" i="22" s="1"/>
  <c r="M17" i="22" s="1"/>
  <c r="H20" i="22"/>
  <c r="I20" i="22" s="1"/>
  <c r="J20" i="22" s="1"/>
  <c r="K20" i="22" s="1"/>
  <c r="L20" i="22" s="1"/>
  <c r="M20" i="22" s="1"/>
  <c r="F7" i="22"/>
  <c r="G7" i="22" s="1"/>
  <c r="H7" i="22" s="1"/>
  <c r="I7" i="22" s="1"/>
  <c r="J7" i="22" s="1"/>
  <c r="K7" i="22" s="1"/>
  <c r="L7" i="22" s="1"/>
  <c r="M7" i="22" s="1"/>
  <c r="F8" i="22"/>
  <c r="G8" i="22" s="1"/>
  <c r="H8" i="22" s="1"/>
  <c r="I8" i="22" s="1"/>
  <c r="J8" i="22" s="1"/>
  <c r="K8" i="22" s="1"/>
  <c r="L8" i="22" s="1"/>
  <c r="M8" i="22" s="1"/>
  <c r="F9" i="22"/>
  <c r="G9" i="22" s="1"/>
  <c r="H9" i="22" s="1"/>
  <c r="I9" i="22" s="1"/>
  <c r="J9" i="22" s="1"/>
  <c r="K9" i="22" s="1"/>
  <c r="L9" i="22" s="1"/>
  <c r="M9" i="22" s="1"/>
  <c r="F10" i="22"/>
  <c r="G10" i="22" s="1"/>
  <c r="H10" i="22" s="1"/>
  <c r="I10" i="22" s="1"/>
  <c r="J10" i="22" s="1"/>
  <c r="K10" i="22" s="1"/>
  <c r="L10" i="22" s="1"/>
  <c r="M10" i="22" s="1"/>
  <c r="F11" i="22"/>
  <c r="G11" i="22" s="1"/>
  <c r="H11" i="22" s="1"/>
  <c r="I11" i="22" s="1"/>
  <c r="J11" i="22" s="1"/>
  <c r="K11" i="22" s="1"/>
  <c r="L11" i="22" s="1"/>
  <c r="M11" i="22" s="1"/>
  <c r="F12" i="22"/>
  <c r="F13" i="22"/>
  <c r="G13" i="22" s="1"/>
  <c r="H13" i="22" s="1"/>
  <c r="I13" i="22" s="1"/>
  <c r="J13" i="22" s="1"/>
  <c r="K13" i="22" s="1"/>
  <c r="L13" i="22" s="1"/>
  <c r="M13" i="22" s="1"/>
  <c r="F14" i="22"/>
  <c r="F15" i="22"/>
  <c r="G15" i="22" s="1"/>
  <c r="H15" i="22" s="1"/>
  <c r="I15" i="22" s="1"/>
  <c r="J15" i="22" s="1"/>
  <c r="K15" i="22" s="1"/>
  <c r="L15" i="22" s="1"/>
  <c r="M15" i="22" s="1"/>
  <c r="F16" i="22"/>
  <c r="G16" i="22" s="1"/>
  <c r="H16" i="22" s="1"/>
  <c r="I16" i="22" s="1"/>
  <c r="J16" i="22" s="1"/>
  <c r="K16" i="22" s="1"/>
  <c r="L16" i="22" s="1"/>
  <c r="M16" i="22" s="1"/>
  <c r="F17" i="22"/>
  <c r="F18" i="22"/>
  <c r="G18" i="22" s="1"/>
  <c r="H18" i="22" s="1"/>
  <c r="I18" i="22" s="1"/>
  <c r="J18" i="22" s="1"/>
  <c r="K18" i="22" s="1"/>
  <c r="L18" i="22" s="1"/>
  <c r="M18" i="22" s="1"/>
  <c r="F19" i="22"/>
  <c r="G19" i="22" s="1"/>
  <c r="H19" i="22" s="1"/>
  <c r="I19" i="22" s="1"/>
  <c r="J19" i="22" s="1"/>
  <c r="K19" i="22" s="1"/>
  <c r="L19" i="22" s="1"/>
  <c r="M19" i="22" s="1"/>
  <c r="F20" i="22"/>
  <c r="F6" i="22"/>
  <c r="G6" i="22" s="1"/>
  <c r="H6" i="22" s="1"/>
  <c r="I6" i="22" s="1"/>
  <c r="J6" i="22" s="1"/>
  <c r="K6" i="22" s="1"/>
  <c r="L6" i="22" s="1"/>
  <c r="M6" i="22" s="1"/>
  <c r="F5" i="22"/>
  <c r="G5" i="22" s="1"/>
  <c r="H5" i="22" s="1"/>
  <c r="I5" i="22" s="1"/>
  <c r="J5" i="22" s="1"/>
  <c r="K5" i="22" s="1"/>
  <c r="E21" i="22"/>
  <c r="D21" i="22"/>
  <c r="C21" i="22"/>
  <c r="B21" i="22"/>
  <c r="H55" i="1"/>
  <c r="H56" i="1"/>
  <c r="H57" i="1"/>
  <c r="H58" i="1"/>
  <c r="H60" i="1"/>
  <c r="H61" i="1"/>
  <c r="H62" i="1"/>
  <c r="H63" i="1"/>
  <c r="H64" i="1"/>
  <c r="H65" i="1"/>
  <c r="H68" i="1"/>
  <c r="H69" i="1"/>
  <c r="H71" i="1"/>
  <c r="H72" i="1"/>
  <c r="H75" i="1"/>
  <c r="H77" i="1"/>
  <c r="H78" i="1"/>
  <c r="G55" i="1"/>
  <c r="G56" i="1"/>
  <c r="G57" i="1"/>
  <c r="G58" i="1"/>
  <c r="G60" i="1"/>
  <c r="G61" i="1"/>
  <c r="G62" i="1"/>
  <c r="G63" i="1"/>
  <c r="G64" i="1"/>
  <c r="G65" i="1"/>
  <c r="G68" i="1"/>
  <c r="G69" i="1"/>
  <c r="G71" i="1"/>
  <c r="G72" i="1"/>
  <c r="G75" i="1"/>
  <c r="G77" i="1"/>
  <c r="G78" i="1"/>
  <c r="F52" i="1"/>
  <c r="F53" i="1"/>
  <c r="F55" i="1"/>
  <c r="F56" i="1"/>
  <c r="F57" i="1"/>
  <c r="F58" i="1"/>
  <c r="F60" i="1"/>
  <c r="F61" i="1"/>
  <c r="F62" i="1"/>
  <c r="F63" i="1"/>
  <c r="F64" i="1"/>
  <c r="F65" i="1"/>
  <c r="F68" i="1"/>
  <c r="F69" i="1"/>
  <c r="F71" i="1"/>
  <c r="F72" i="1"/>
  <c r="F75" i="1"/>
  <c r="F77" i="1"/>
  <c r="F78" i="1"/>
  <c r="E52" i="1"/>
  <c r="E53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4" i="1"/>
  <c r="E75" i="1"/>
  <c r="E77" i="1"/>
  <c r="E78" i="1"/>
  <c r="F19" i="27" l="1"/>
  <c r="G9" i="27"/>
  <c r="L8" i="27"/>
  <c r="L5" i="22"/>
  <c r="K21" i="22"/>
  <c r="N20" i="22"/>
  <c r="F21" i="22"/>
  <c r="F21" i="26"/>
  <c r="C19" i="26"/>
  <c r="D19" i="26"/>
  <c r="E19" i="26"/>
  <c r="F19" i="26"/>
  <c r="G19" i="26"/>
  <c r="H19" i="26"/>
  <c r="I19" i="26"/>
  <c r="J19" i="26"/>
  <c r="K19" i="26"/>
  <c r="L19" i="26"/>
  <c r="M19" i="26"/>
  <c r="B19" i="26"/>
  <c r="C28" i="26"/>
  <c r="D28" i="26"/>
  <c r="E28" i="26"/>
  <c r="F28" i="26"/>
  <c r="G28" i="26"/>
  <c r="H28" i="26"/>
  <c r="I28" i="26"/>
  <c r="J28" i="26"/>
  <c r="K28" i="26"/>
  <c r="L28" i="26"/>
  <c r="M28" i="26"/>
  <c r="B28" i="26"/>
  <c r="R19" i="11"/>
  <c r="S19" i="11" s="1"/>
  <c r="O19" i="11"/>
  <c r="P19" i="11" s="1"/>
  <c r="L19" i="11"/>
  <c r="M19" i="11" s="1"/>
  <c r="F19" i="11"/>
  <c r="G19" i="11" s="1"/>
  <c r="I19" i="11"/>
  <c r="J19" i="11" s="1"/>
  <c r="C19" i="11"/>
  <c r="D19" i="11" s="1"/>
  <c r="O10" i="11"/>
  <c r="P10" i="11" s="1"/>
  <c r="R10" i="11"/>
  <c r="S10" i="11" s="1"/>
  <c r="L10" i="11"/>
  <c r="M10" i="11" s="1"/>
  <c r="F10" i="11"/>
  <c r="I10" i="11"/>
  <c r="J10" i="11" s="1"/>
  <c r="C10" i="11"/>
  <c r="D10" i="11" s="1"/>
  <c r="F39" i="9"/>
  <c r="G39" i="9" s="1"/>
  <c r="F37" i="9"/>
  <c r="G37" i="9" s="1"/>
  <c r="F28" i="9"/>
  <c r="G28" i="9" s="1"/>
  <c r="F22" i="9"/>
  <c r="G22" i="9" s="1"/>
  <c r="F21" i="9"/>
  <c r="G21" i="9" s="1"/>
  <c r="F16" i="9"/>
  <c r="G16" i="9" s="1"/>
  <c r="F15" i="9"/>
  <c r="G15" i="9" s="1"/>
  <c r="F13" i="9"/>
  <c r="G13" i="9" s="1"/>
  <c r="G10" i="11" l="1"/>
  <c r="H9" i="27"/>
  <c r="G19" i="27"/>
  <c r="M8" i="27"/>
  <c r="L21" i="22"/>
  <c r="M5" i="22"/>
  <c r="M21" i="22" s="1"/>
  <c r="I9" i="27" l="1"/>
  <c r="H19" i="27"/>
  <c r="J12" i="19"/>
  <c r="J13" i="19"/>
  <c r="J14" i="19"/>
  <c r="J15" i="19"/>
  <c r="I13" i="21"/>
  <c r="H13" i="21"/>
  <c r="J6" i="21" l="1"/>
  <c r="J9" i="27"/>
  <c r="I19" i="27"/>
  <c r="J24" i="2"/>
  <c r="M24" i="2" s="1"/>
  <c r="P24" i="2" s="1"/>
  <c r="S24" i="2" s="1"/>
  <c r="I24" i="2"/>
  <c r="M23" i="2"/>
  <c r="P23" i="2" s="1"/>
  <c r="S23" i="2" s="1"/>
  <c r="J17" i="2"/>
  <c r="M17" i="2" s="1"/>
  <c r="P17" i="2" s="1"/>
  <c r="S17" i="2" s="1"/>
  <c r="M16" i="2"/>
  <c r="P16" i="2" s="1"/>
  <c r="S16" i="2" s="1"/>
  <c r="G24" i="11"/>
  <c r="F14" i="11"/>
  <c r="F4" i="9"/>
  <c r="G4" i="9" s="1"/>
  <c r="N10" i="26"/>
  <c r="N11" i="26"/>
  <c r="N12" i="26"/>
  <c r="N13" i="26"/>
  <c r="F45" i="26"/>
  <c r="B16" i="23"/>
  <c r="B5" i="23"/>
  <c r="N7" i="26"/>
  <c r="C8" i="23" s="1"/>
  <c r="N23" i="26"/>
  <c r="K16" i="2" l="1"/>
  <c r="L16" i="2"/>
  <c r="D49" i="2"/>
  <c r="G49" i="2"/>
  <c r="J49" i="2" s="1"/>
  <c r="M49" i="2" s="1"/>
  <c r="P49" i="2" s="1"/>
  <c r="S49" i="2" s="1"/>
  <c r="G43" i="2"/>
  <c r="J43" i="2" s="1"/>
  <c r="P43" i="2" s="1"/>
  <c r="S43" i="2" s="1"/>
  <c r="D43" i="2"/>
  <c r="K17" i="2"/>
  <c r="L17" i="2"/>
  <c r="K24" i="2"/>
  <c r="L24" i="2"/>
  <c r="D50" i="2"/>
  <c r="G50" i="2"/>
  <c r="J50" i="2" s="1"/>
  <c r="M50" i="2" s="1"/>
  <c r="P50" i="2" s="1"/>
  <c r="S50" i="2" s="1"/>
  <c r="D42" i="2"/>
  <c r="G42" i="2"/>
  <c r="J42" i="2" s="1"/>
  <c r="M42" i="2" s="1"/>
  <c r="P42" i="2" s="1"/>
  <c r="S42" i="2" s="1"/>
  <c r="K23" i="2"/>
  <c r="K9" i="27"/>
  <c r="J19" i="27"/>
  <c r="B11" i="23"/>
  <c r="O17" i="2" l="1"/>
  <c r="N17" i="2"/>
  <c r="O23" i="2"/>
  <c r="N23" i="2"/>
  <c r="N24" i="2"/>
  <c r="O24" i="2"/>
  <c r="N16" i="2"/>
  <c r="O16" i="2"/>
  <c r="L9" i="27"/>
  <c r="K19" i="27"/>
  <c r="Q16" i="2" l="1"/>
  <c r="Q23" i="2"/>
  <c r="Q24" i="2"/>
  <c r="Q17" i="2"/>
  <c r="M9" i="27"/>
  <c r="M19" i="27" s="1"/>
  <c r="L19" i="27"/>
  <c r="T17" i="2" l="1"/>
  <c r="F43" i="2"/>
  <c r="C43" i="2"/>
  <c r="E43" i="2" s="1"/>
  <c r="T23" i="2"/>
  <c r="C49" i="2"/>
  <c r="E49" i="2" s="1"/>
  <c r="T24" i="2"/>
  <c r="F50" i="2"/>
  <c r="C50" i="2"/>
  <c r="E50" i="2" s="1"/>
  <c r="T16" i="2"/>
  <c r="F42" i="2"/>
  <c r="C42" i="2"/>
  <c r="E42" i="2" s="1"/>
  <c r="D24" i="21"/>
  <c r="F35" i="21"/>
  <c r="I35" i="21" s="1"/>
  <c r="E35" i="21"/>
  <c r="R35" i="21" l="1"/>
  <c r="H50" i="2"/>
  <c r="H42" i="2"/>
  <c r="H43" i="2"/>
  <c r="H49" i="2"/>
  <c r="G35" i="21"/>
  <c r="M35" i="21" l="1"/>
  <c r="J35" i="21"/>
  <c r="Q35" i="21" l="1"/>
  <c r="P35" i="21"/>
  <c r="N50" i="2"/>
  <c r="O50" i="2"/>
  <c r="O42" i="2"/>
  <c r="N42" i="2"/>
  <c r="O43" i="2"/>
  <c r="N43" i="2"/>
  <c r="N49" i="2"/>
  <c r="O49" i="2"/>
  <c r="S35" i="21" l="1"/>
  <c r="Q49" i="2"/>
  <c r="R49" i="2"/>
  <c r="T49" i="2" s="1"/>
  <c r="R42" i="2"/>
  <c r="T42" i="2" s="1"/>
  <c r="Q42" i="2"/>
  <c r="R50" i="2"/>
  <c r="T50" i="2" s="1"/>
  <c r="Q50" i="2"/>
  <c r="Q43" i="2"/>
  <c r="R43" i="2"/>
  <c r="T43" i="2" s="1"/>
  <c r="B55" i="1" l="1"/>
  <c r="B56" i="1"/>
  <c r="G52" i="1" l="1"/>
  <c r="C29" i="11"/>
  <c r="D29" i="11" s="1"/>
  <c r="R6" i="11"/>
  <c r="O8" i="11"/>
  <c r="R8" i="11"/>
  <c r="O12" i="11"/>
  <c r="R12" i="11"/>
  <c r="R14" i="11"/>
  <c r="S14" i="11" s="1"/>
  <c r="O15" i="11"/>
  <c r="R15" i="11"/>
  <c r="O16" i="11"/>
  <c r="P16" i="11" s="1"/>
  <c r="R16" i="11"/>
  <c r="O17" i="11"/>
  <c r="R17" i="11"/>
  <c r="R20" i="11"/>
  <c r="O21" i="11"/>
  <c r="R21" i="11"/>
  <c r="S21" i="11" s="1"/>
  <c r="O24" i="11"/>
  <c r="R24" i="11"/>
  <c r="L12" i="11"/>
  <c r="M12" i="11" s="1"/>
  <c r="L14" i="11"/>
  <c r="M14" i="11" s="1"/>
  <c r="L15" i="11"/>
  <c r="L16" i="11"/>
  <c r="L17" i="11"/>
  <c r="M17" i="11" s="1"/>
  <c r="L20" i="11"/>
  <c r="L21" i="11"/>
  <c r="L24" i="11"/>
  <c r="L6" i="11"/>
  <c r="J6" i="11"/>
  <c r="I8" i="11"/>
  <c r="I12" i="11"/>
  <c r="J12" i="11" s="1"/>
  <c r="J14" i="11"/>
  <c r="I15" i="11"/>
  <c r="I16" i="11"/>
  <c r="J16" i="11" s="1"/>
  <c r="I17" i="11"/>
  <c r="J17" i="11" s="1"/>
  <c r="I20" i="11"/>
  <c r="J20" i="11" s="1"/>
  <c r="I21" i="11"/>
  <c r="J21" i="11" s="1"/>
  <c r="J24" i="11"/>
  <c r="F20" i="11"/>
  <c r="G20" i="11" s="1"/>
  <c r="F21" i="11"/>
  <c r="G21" i="11" s="1"/>
  <c r="G17" i="11"/>
  <c r="F16" i="11"/>
  <c r="G16" i="11" s="1"/>
  <c r="F15" i="11"/>
  <c r="G15" i="11" s="1"/>
  <c r="F12" i="11"/>
  <c r="G14" i="11"/>
  <c r="G8" i="11"/>
  <c r="C16" i="10"/>
  <c r="F4" i="10"/>
  <c r="G6" i="10"/>
  <c r="F8" i="10"/>
  <c r="G8" i="10" s="1"/>
  <c r="I9" i="8"/>
  <c r="J9" i="8" s="1"/>
  <c r="K9" i="8"/>
  <c r="L9" i="8" s="1"/>
  <c r="F9" i="8"/>
  <c r="C9" i="8"/>
  <c r="D9" i="8" s="1"/>
  <c r="F6" i="8"/>
  <c r="G6" i="8" s="1"/>
  <c r="C6" i="8"/>
  <c r="K3" i="8"/>
  <c r="K4" i="8"/>
  <c r="L4" i="8" s="1"/>
  <c r="K7" i="8"/>
  <c r="L7" i="8" s="1"/>
  <c r="F3" i="8"/>
  <c r="G3" i="8" s="1"/>
  <c r="I3" i="8"/>
  <c r="J3" i="8" s="1"/>
  <c r="C3" i="8"/>
  <c r="D3" i="8" s="1"/>
  <c r="D16" i="10" l="1"/>
  <c r="R26" i="11"/>
  <c r="J15" i="11"/>
  <c r="I26" i="11"/>
  <c r="F26" i="11"/>
  <c r="J8" i="11"/>
  <c r="L3" i="8"/>
  <c r="L10" i="8" s="1"/>
  <c r="L15" i="8" s="1"/>
  <c r="E32" i="1" s="1"/>
  <c r="K10" i="8"/>
  <c r="K15" i="8" s="1"/>
  <c r="D6" i="8"/>
  <c r="G9" i="8"/>
  <c r="G12" i="11"/>
  <c r="M6" i="11"/>
  <c r="G4" i="10"/>
  <c r="G9" i="10" s="1"/>
  <c r="F9" i="10"/>
  <c r="G53" i="1"/>
  <c r="H52" i="1"/>
  <c r="P15" i="11"/>
  <c r="L36" i="1"/>
  <c r="O6" i="11"/>
  <c r="J36" i="1"/>
  <c r="F16" i="10"/>
  <c r="O20" i="11"/>
  <c r="P20" i="11" s="1"/>
  <c r="M36" i="1"/>
  <c r="M16" i="11"/>
  <c r="S8" i="11"/>
  <c r="K36" i="1"/>
  <c r="P21" i="11"/>
  <c r="P8" i="11"/>
  <c r="B44" i="11"/>
  <c r="B22" i="10" s="1"/>
  <c r="K44" i="11"/>
  <c r="K22" i="10" s="1"/>
  <c r="E44" i="11"/>
  <c r="E22" i="10" s="1"/>
  <c r="N44" i="11"/>
  <c r="N22" i="10" s="1"/>
  <c r="Q44" i="11"/>
  <c r="Q22" i="10" s="1"/>
  <c r="M24" i="11"/>
  <c r="M21" i="11"/>
  <c r="P24" i="11"/>
  <c r="S17" i="11"/>
  <c r="P17" i="11"/>
  <c r="P12" i="11"/>
  <c r="L8" i="11"/>
  <c r="M8" i="11" s="1"/>
  <c r="O14" i="11"/>
  <c r="P14" i="11" s="1"/>
  <c r="H44" i="11"/>
  <c r="S24" i="11"/>
  <c r="S20" i="11"/>
  <c r="S16" i="11"/>
  <c r="S15" i="11"/>
  <c r="S12" i="11"/>
  <c r="S6" i="11"/>
  <c r="M20" i="11"/>
  <c r="M15" i="11"/>
  <c r="M9" i="8"/>
  <c r="N9" i="8"/>
  <c r="O9" i="8" s="1"/>
  <c r="M4" i="8"/>
  <c r="N7" i="8"/>
  <c r="Q7" i="8" s="1"/>
  <c r="N4" i="8"/>
  <c r="M7" i="8"/>
  <c r="E28" i="21"/>
  <c r="H28" i="21" s="1"/>
  <c r="F28" i="21"/>
  <c r="I28" i="21" s="1"/>
  <c r="F34" i="21"/>
  <c r="E24" i="21"/>
  <c r="E33" i="21" s="1"/>
  <c r="F24" i="21"/>
  <c r="E27" i="21"/>
  <c r="F27" i="21"/>
  <c r="I27" i="21" s="1"/>
  <c r="R27" i="21" s="1"/>
  <c r="E29" i="21"/>
  <c r="H29" i="21" s="1"/>
  <c r="F29" i="21"/>
  <c r="I29" i="21" s="1"/>
  <c r="E36" i="21"/>
  <c r="F36" i="21"/>
  <c r="I36" i="21" s="1"/>
  <c r="E31" i="21"/>
  <c r="F31" i="21"/>
  <c r="I31" i="21" s="1"/>
  <c r="L31" i="21" s="1"/>
  <c r="E32" i="21"/>
  <c r="H32" i="21" s="1"/>
  <c r="F32" i="21"/>
  <c r="I32" i="21" s="1"/>
  <c r="L32" i="21" s="1"/>
  <c r="R32" i="21" s="1"/>
  <c r="E38" i="21"/>
  <c r="F25" i="21"/>
  <c r="E25" i="21"/>
  <c r="J10" i="21"/>
  <c r="J7" i="21"/>
  <c r="J17" i="21"/>
  <c r="J19" i="21"/>
  <c r="I34" i="21" l="1"/>
  <c r="F33" i="21"/>
  <c r="M3" i="8"/>
  <c r="G16" i="10"/>
  <c r="J26" i="11"/>
  <c r="S26" i="11"/>
  <c r="L26" i="11"/>
  <c r="M26" i="11"/>
  <c r="O26" i="11"/>
  <c r="N10" i="8"/>
  <c r="N15" i="8" s="1"/>
  <c r="M10" i="8"/>
  <c r="M15" i="8" s="1"/>
  <c r="E33" i="1" s="1"/>
  <c r="P6" i="11"/>
  <c r="P26" i="11" s="1"/>
  <c r="N38" i="21"/>
  <c r="H36" i="1"/>
  <c r="R31" i="21"/>
  <c r="I25" i="21"/>
  <c r="L25" i="21" s="1"/>
  <c r="L33" i="21" s="1"/>
  <c r="H25" i="21"/>
  <c r="O36" i="21"/>
  <c r="R25" i="21"/>
  <c r="H53" i="1"/>
  <c r="I44" i="11"/>
  <c r="H22" i="10"/>
  <c r="F44" i="11"/>
  <c r="R44" i="11"/>
  <c r="L44" i="11"/>
  <c r="L22" i="10" s="1"/>
  <c r="O44" i="11"/>
  <c r="O22" i="10" s="1"/>
  <c r="C44" i="11"/>
  <c r="C22" i="10" s="1"/>
  <c r="Q9" i="8"/>
  <c r="R9" i="8" s="1"/>
  <c r="S9" i="8" s="1"/>
  <c r="P9" i="8"/>
  <c r="O6" i="8"/>
  <c r="P6" i="8" s="1"/>
  <c r="O3" i="8"/>
  <c r="O7" i="8"/>
  <c r="P7" i="8" s="1"/>
  <c r="O4" i="8"/>
  <c r="P4" i="8" s="1"/>
  <c r="Q4" i="8"/>
  <c r="R4" i="8" s="1"/>
  <c r="R7" i="8"/>
  <c r="S7" i="8" s="1"/>
  <c r="G27" i="21"/>
  <c r="G24" i="21"/>
  <c r="H27" i="21"/>
  <c r="J27" i="21" s="1"/>
  <c r="H24" i="21"/>
  <c r="G28" i="21"/>
  <c r="N39" i="21"/>
  <c r="G36" i="21"/>
  <c r="H36" i="21"/>
  <c r="I24" i="21"/>
  <c r="I33" i="21" s="1"/>
  <c r="G32" i="21"/>
  <c r="K32" i="21"/>
  <c r="G31" i="21"/>
  <c r="H31" i="21"/>
  <c r="K31" i="21" s="1"/>
  <c r="M31" i="21" s="1"/>
  <c r="R29" i="21"/>
  <c r="G29" i="21"/>
  <c r="J29" i="21"/>
  <c r="O28" i="21"/>
  <c r="J28" i="21"/>
  <c r="D14" i="21"/>
  <c r="E14" i="21"/>
  <c r="E20" i="21" s="1"/>
  <c r="F14" i="21"/>
  <c r="F20" i="21" s="1"/>
  <c r="J14" i="21"/>
  <c r="K14" i="21"/>
  <c r="L14" i="21"/>
  <c r="D7" i="21"/>
  <c r="J15" i="21"/>
  <c r="R15" i="21"/>
  <c r="D15" i="21"/>
  <c r="K3" i="21"/>
  <c r="N3" i="21" s="1"/>
  <c r="L3" i="21"/>
  <c r="O3" i="21" s="1"/>
  <c r="R3" i="21" s="1"/>
  <c r="R13" i="21" s="1"/>
  <c r="R16" i="21"/>
  <c r="K17" i="21"/>
  <c r="L17" i="21"/>
  <c r="O17" i="21" s="1"/>
  <c r="R17" i="21" s="1"/>
  <c r="C37" i="21" s="1"/>
  <c r="L18" i="21"/>
  <c r="O18" i="21" s="1"/>
  <c r="L19" i="21"/>
  <c r="O19" i="21" s="1"/>
  <c r="J3" i="21"/>
  <c r="D3" i="4"/>
  <c r="E3" i="4"/>
  <c r="F3" i="4"/>
  <c r="E4" i="21"/>
  <c r="F4" i="21"/>
  <c r="E8" i="21"/>
  <c r="F8" i="21"/>
  <c r="F9" i="4"/>
  <c r="E9" i="4"/>
  <c r="F8" i="4"/>
  <c r="I8" i="4" s="1"/>
  <c r="L8" i="4" s="1"/>
  <c r="F7" i="4"/>
  <c r="I7" i="4" s="1"/>
  <c r="F6" i="19"/>
  <c r="E6" i="19"/>
  <c r="F5" i="19"/>
  <c r="E5" i="19"/>
  <c r="F4" i="19"/>
  <c r="E4" i="19"/>
  <c r="F3" i="19"/>
  <c r="F8" i="19" s="1"/>
  <c r="E3" i="19"/>
  <c r="E8" i="19" s="1"/>
  <c r="C8" i="10"/>
  <c r="B10" i="10"/>
  <c r="C24" i="11"/>
  <c r="D24" i="11" s="1"/>
  <c r="C21" i="11"/>
  <c r="D21" i="11" s="1"/>
  <c r="C17" i="11"/>
  <c r="D17" i="11" s="1"/>
  <c r="C15" i="11"/>
  <c r="D15" i="11" s="1"/>
  <c r="D5" i="19"/>
  <c r="D6" i="19"/>
  <c r="D18" i="21"/>
  <c r="G18" i="21"/>
  <c r="J18" i="21"/>
  <c r="D11" i="21"/>
  <c r="D3" i="21"/>
  <c r="F31" i="9"/>
  <c r="G31" i="9" s="1"/>
  <c r="F32" i="9"/>
  <c r="G32" i="9" s="1"/>
  <c r="F33" i="9"/>
  <c r="G33" i="9" s="1"/>
  <c r="F36" i="9"/>
  <c r="G36" i="9" s="1"/>
  <c r="F40" i="9"/>
  <c r="G40" i="9" s="1"/>
  <c r="F8" i="9"/>
  <c r="G8" i="9" s="1"/>
  <c r="C40" i="21" l="1"/>
  <c r="C41" i="21" s="1"/>
  <c r="H33" i="21"/>
  <c r="L34" i="21"/>
  <c r="R36" i="21"/>
  <c r="O24" i="21"/>
  <c r="O33" i="21" s="1"/>
  <c r="C39" i="21"/>
  <c r="F39" i="21" s="1"/>
  <c r="R19" i="21"/>
  <c r="P3" i="8"/>
  <c r="P10" i="8" s="1"/>
  <c r="P15" i="8" s="1"/>
  <c r="F33" i="1" s="1"/>
  <c r="O10" i="8"/>
  <c r="O15" i="8" s="1"/>
  <c r="F32" i="1" s="1"/>
  <c r="Q10" i="8"/>
  <c r="Q15" i="8" s="1"/>
  <c r="R18" i="21"/>
  <c r="P18" i="21"/>
  <c r="F37" i="21"/>
  <c r="P3" i="21"/>
  <c r="Q3" i="21"/>
  <c r="Q38" i="21"/>
  <c r="L7" i="4"/>
  <c r="O8" i="4"/>
  <c r="P8" i="4" s="1"/>
  <c r="M8" i="4"/>
  <c r="L9" i="4"/>
  <c r="L13" i="21"/>
  <c r="E13" i="21"/>
  <c r="F13" i="21"/>
  <c r="K13" i="21"/>
  <c r="L20" i="21"/>
  <c r="K20" i="21"/>
  <c r="J25" i="21"/>
  <c r="K25" i="21"/>
  <c r="K33" i="21" s="1"/>
  <c r="R28" i="21"/>
  <c r="J9" i="4"/>
  <c r="J4" i="19"/>
  <c r="P44" i="11"/>
  <c r="P22" i="10" s="1"/>
  <c r="S44" i="11"/>
  <c r="S22" i="10" s="1"/>
  <c r="R22" i="10"/>
  <c r="G44" i="11"/>
  <c r="G22" i="10" s="1"/>
  <c r="F22" i="10"/>
  <c r="D44" i="11"/>
  <c r="D22" i="10" s="1"/>
  <c r="M44" i="11"/>
  <c r="M22" i="10" s="1"/>
  <c r="I22" i="10"/>
  <c r="J44" i="11"/>
  <c r="J22" i="10" s="1"/>
  <c r="E45" i="11"/>
  <c r="R6" i="8"/>
  <c r="S6" i="8" s="1"/>
  <c r="R3" i="8"/>
  <c r="S4" i="8"/>
  <c r="Q25" i="21"/>
  <c r="S25" i="21" s="1"/>
  <c r="M39" i="21"/>
  <c r="J24" i="21"/>
  <c r="M28" i="21"/>
  <c r="M24" i="21"/>
  <c r="N24" i="21"/>
  <c r="M27" i="21"/>
  <c r="J36" i="21"/>
  <c r="N36" i="21"/>
  <c r="N28" i="21"/>
  <c r="J32" i="21"/>
  <c r="J33" i="21" s="1"/>
  <c r="J31" i="21"/>
  <c r="M29" i="21"/>
  <c r="Q39" i="21"/>
  <c r="P27" i="21"/>
  <c r="Q27" i="21"/>
  <c r="R24" i="21"/>
  <c r="R33" i="21" s="1"/>
  <c r="P29" i="21"/>
  <c r="Q29" i="21"/>
  <c r="S29" i="21" s="1"/>
  <c r="G7" i="21"/>
  <c r="O13" i="21"/>
  <c r="G11" i="21"/>
  <c r="S15" i="21"/>
  <c r="P15" i="21"/>
  <c r="O14" i="21"/>
  <c r="O20" i="21" s="1"/>
  <c r="G14" i="21"/>
  <c r="G3" i="4"/>
  <c r="P16" i="21"/>
  <c r="Q16" i="21"/>
  <c r="S16" i="21" s="1"/>
  <c r="N19" i="21"/>
  <c r="M19" i="21"/>
  <c r="N17" i="21"/>
  <c r="M17" i="21"/>
  <c r="N14" i="21"/>
  <c r="M14" i="21"/>
  <c r="G15" i="21"/>
  <c r="G8" i="21"/>
  <c r="M15" i="21"/>
  <c r="M16" i="21"/>
  <c r="M3" i="21"/>
  <c r="M18" i="21"/>
  <c r="G3" i="21"/>
  <c r="G6" i="21"/>
  <c r="G4" i="21"/>
  <c r="J3" i="4"/>
  <c r="E24" i="2"/>
  <c r="N33" i="21" l="1"/>
  <c r="O34" i="21"/>
  <c r="R34" i="21" s="1"/>
  <c r="S27" i="21"/>
  <c r="M25" i="21"/>
  <c r="S3" i="21"/>
  <c r="S13" i="21" s="1"/>
  <c r="Q13" i="21"/>
  <c r="Q24" i="21"/>
  <c r="S3" i="8"/>
  <c r="S10" i="8" s="1"/>
  <c r="R10" i="8"/>
  <c r="I39" i="21"/>
  <c r="S18" i="21"/>
  <c r="I37" i="21"/>
  <c r="O7" i="4"/>
  <c r="M7" i="4"/>
  <c r="O9" i="4"/>
  <c r="M9" i="4"/>
  <c r="N20" i="21"/>
  <c r="M13" i="21"/>
  <c r="M20" i="21"/>
  <c r="N13" i="21"/>
  <c r="O3" i="4"/>
  <c r="P28" i="21"/>
  <c r="P25" i="21"/>
  <c r="P24" i="21"/>
  <c r="Q28" i="21"/>
  <c r="S28" i="21" s="1"/>
  <c r="M36" i="21"/>
  <c r="M32" i="21"/>
  <c r="M33" i="21" s="1"/>
  <c r="S24" i="21"/>
  <c r="R14" i="21"/>
  <c r="R20" i="21" s="1"/>
  <c r="P19" i="21"/>
  <c r="S19" i="21" s="1"/>
  <c r="Q19" i="21"/>
  <c r="P17" i="21"/>
  <c r="Q17" i="21"/>
  <c r="P14" i="21"/>
  <c r="Q14" i="21"/>
  <c r="Q20" i="21" s="1"/>
  <c r="Q21" i="21" s="1"/>
  <c r="R15" i="8" l="1"/>
  <c r="G32" i="1"/>
  <c r="S15" i="8"/>
  <c r="G33" i="1"/>
  <c r="O39" i="21"/>
  <c r="D38" i="21"/>
  <c r="F38" i="21"/>
  <c r="F40" i="21" s="1"/>
  <c r="F41" i="21" s="1"/>
  <c r="B39" i="21"/>
  <c r="S17" i="21"/>
  <c r="B37" i="21"/>
  <c r="E37" i="21" s="1"/>
  <c r="L37" i="21"/>
  <c r="L40" i="21" s="1"/>
  <c r="L41" i="21" s="1"/>
  <c r="P9" i="4"/>
  <c r="R9" i="4"/>
  <c r="P7" i="4"/>
  <c r="R7" i="4"/>
  <c r="C19" i="4" s="1"/>
  <c r="P20" i="21"/>
  <c r="B19" i="4"/>
  <c r="P13" i="21"/>
  <c r="R3" i="4"/>
  <c r="P36" i="21"/>
  <c r="Q36" i="21"/>
  <c r="P32" i="21"/>
  <c r="Q32" i="21"/>
  <c r="S32" i="21" s="1"/>
  <c r="Q31" i="21"/>
  <c r="Q33" i="21" s="1"/>
  <c r="P31" i="21"/>
  <c r="P33" i="21" s="1"/>
  <c r="S14" i="21"/>
  <c r="E15" i="4"/>
  <c r="N15" i="4" s="1"/>
  <c r="Q15" i="4" s="1"/>
  <c r="P3" i="4"/>
  <c r="R39" i="21" l="1"/>
  <c r="S39" i="21" s="1"/>
  <c r="P39" i="21"/>
  <c r="S7" i="4"/>
  <c r="Q10" i="4"/>
  <c r="E39" i="21"/>
  <c r="C21" i="4"/>
  <c r="F21" i="4" s="1"/>
  <c r="I21" i="4" s="1"/>
  <c r="L21" i="4" s="1"/>
  <c r="O21" i="4" s="1"/>
  <c r="R21" i="4" s="1"/>
  <c r="S20" i="21"/>
  <c r="I38" i="21"/>
  <c r="I40" i="21" s="1"/>
  <c r="I41" i="21" s="1"/>
  <c r="G38" i="21"/>
  <c r="O37" i="21"/>
  <c r="F19" i="4"/>
  <c r="G39" i="21"/>
  <c r="G37" i="21"/>
  <c r="H37" i="21"/>
  <c r="D19" i="4"/>
  <c r="E19" i="4"/>
  <c r="B21" i="4"/>
  <c r="S9" i="4"/>
  <c r="C15" i="4"/>
  <c r="S36" i="21"/>
  <c r="S31" i="21"/>
  <c r="S33" i="21" s="1"/>
  <c r="S3" i="4"/>
  <c r="F15" i="4" l="1"/>
  <c r="J39" i="21"/>
  <c r="J38" i="21"/>
  <c r="K37" i="21"/>
  <c r="J37" i="21"/>
  <c r="I19" i="4"/>
  <c r="R37" i="21"/>
  <c r="D21" i="4"/>
  <c r="E21" i="4"/>
  <c r="G19" i="4"/>
  <c r="D15" i="4"/>
  <c r="I15" i="4" l="1"/>
  <c r="O38" i="21"/>
  <c r="O40" i="21" s="1"/>
  <c r="O41" i="21" s="1"/>
  <c r="M38" i="21"/>
  <c r="N37" i="21"/>
  <c r="M37" i="21"/>
  <c r="L19" i="4"/>
  <c r="J19" i="4"/>
  <c r="G21" i="4"/>
  <c r="G15" i="4"/>
  <c r="J15" i="4" l="1"/>
  <c r="L15" i="4"/>
  <c r="R38" i="21"/>
  <c r="R40" i="21" s="1"/>
  <c r="R41" i="21" s="1"/>
  <c r="P38" i="21"/>
  <c r="P37" i="21"/>
  <c r="Q37" i="21"/>
  <c r="S37" i="21" s="1"/>
  <c r="O19" i="4"/>
  <c r="J21" i="4"/>
  <c r="M19" i="4"/>
  <c r="N19" i="4"/>
  <c r="N2" i="5"/>
  <c r="M18" i="29"/>
  <c r="L18" i="29"/>
  <c r="K18" i="29"/>
  <c r="J18" i="29"/>
  <c r="I18" i="29"/>
  <c r="H18" i="29"/>
  <c r="G18" i="29"/>
  <c r="F18" i="29"/>
  <c r="E18" i="29"/>
  <c r="D18" i="29"/>
  <c r="C18" i="29"/>
  <c r="B18" i="29"/>
  <c r="N17" i="29"/>
  <c r="N16" i="29"/>
  <c r="N15" i="29"/>
  <c r="N14" i="29"/>
  <c r="N13" i="29"/>
  <c r="N12" i="29"/>
  <c r="N11" i="29"/>
  <c r="N10" i="29"/>
  <c r="N9" i="29"/>
  <c r="N8" i="29"/>
  <c r="N7" i="29"/>
  <c r="M5" i="29"/>
  <c r="L5" i="29"/>
  <c r="K5" i="29"/>
  <c r="J5" i="29"/>
  <c r="I5" i="29"/>
  <c r="H5" i="29"/>
  <c r="G5" i="29"/>
  <c r="F5" i="29"/>
  <c r="E5" i="29"/>
  <c r="D5" i="29"/>
  <c r="C5" i="29"/>
  <c r="B5" i="29"/>
  <c r="N4" i="29"/>
  <c r="N3" i="29"/>
  <c r="N2" i="29"/>
  <c r="O15" i="4" l="1"/>
  <c r="M15" i="4"/>
  <c r="S38" i="21"/>
  <c r="R19" i="4"/>
  <c r="M21" i="4"/>
  <c r="N21" i="4"/>
  <c r="P19" i="4"/>
  <c r="Q19" i="4"/>
  <c r="N18" i="29"/>
  <c r="N5" i="29"/>
  <c r="N9" i="27"/>
  <c r="N6" i="22"/>
  <c r="N7" i="22"/>
  <c r="N8" i="22"/>
  <c r="N9" i="22"/>
  <c r="N10" i="22"/>
  <c r="N11" i="22"/>
  <c r="B4" i="22"/>
  <c r="P15" i="4" l="1"/>
  <c r="R15" i="4"/>
  <c r="S19" i="4"/>
  <c r="P21" i="4"/>
  <c r="Q21" i="4"/>
  <c r="N19" i="29"/>
  <c r="S15" i="4" l="1"/>
  <c r="S21" i="4"/>
  <c r="M11" i="19"/>
  <c r="J11" i="19"/>
  <c r="G14" i="19" l="1"/>
  <c r="G15" i="19"/>
  <c r="F16" i="19"/>
  <c r="I9" i="1" s="1"/>
  <c r="H16" i="19"/>
  <c r="I16" i="19"/>
  <c r="J9" i="1" s="1"/>
  <c r="E16" i="19"/>
  <c r="O15" i="19"/>
  <c r="R15" i="19" s="1"/>
  <c r="I36" i="1"/>
  <c r="M15" i="19" l="1"/>
  <c r="J16" i="19"/>
  <c r="J10" i="1" s="1"/>
  <c r="N15" i="19"/>
  <c r="P15" i="19" l="1"/>
  <c r="Q15" i="19"/>
  <c r="S15" i="19" s="1"/>
  <c r="M35" i="1"/>
  <c r="L35" i="1"/>
  <c r="K35" i="1"/>
  <c r="J35" i="1"/>
  <c r="I35" i="1"/>
  <c r="H35" i="1"/>
  <c r="N8" i="27" l="1"/>
  <c r="C8" i="6" l="1"/>
  <c r="N8" i="6"/>
  <c r="O8" i="6"/>
  <c r="S3" i="6" l="1"/>
  <c r="N4" i="26" l="1"/>
  <c r="C15" i="23" s="1"/>
  <c r="N5" i="26"/>
  <c r="N16" i="26"/>
  <c r="B21" i="23" s="1"/>
  <c r="N6" i="26"/>
  <c r="C7" i="23" s="1"/>
  <c r="N8" i="26"/>
  <c r="C4" i="23" s="1"/>
  <c r="N24" i="26"/>
  <c r="C18" i="23" s="1"/>
  <c r="C22" i="23" s="1"/>
  <c r="N25" i="26"/>
  <c r="N26" i="26"/>
  <c r="N27" i="26"/>
  <c r="N9" i="26"/>
  <c r="C13" i="23" s="1"/>
  <c r="N14" i="26"/>
  <c r="N15" i="26"/>
  <c r="N17" i="26"/>
  <c r="N18" i="26"/>
  <c r="B29" i="23" s="1"/>
  <c r="C3" i="9"/>
  <c r="C46" i="9" s="1"/>
  <c r="C16" i="11"/>
  <c r="D16" i="11" s="1"/>
  <c r="C14" i="11"/>
  <c r="D14" i="11" s="1"/>
  <c r="C55" i="1"/>
  <c r="D55" i="1"/>
  <c r="C78" i="1"/>
  <c r="D78" i="1"/>
  <c r="B78" i="1"/>
  <c r="N55" i="1" l="1"/>
  <c r="N78" i="1"/>
  <c r="N44" i="26"/>
  <c r="C14" i="23"/>
  <c r="C16" i="23" s="1"/>
  <c r="N28" i="26"/>
  <c r="B20" i="23"/>
  <c r="D3" i="9"/>
  <c r="D46" i="9" s="1"/>
  <c r="F3" i="9"/>
  <c r="C30" i="23" l="1"/>
  <c r="C31" i="23" s="1"/>
  <c r="B22" i="23"/>
  <c r="B23" i="23" s="1"/>
  <c r="G3" i="9"/>
  <c r="D28" i="21" l="1"/>
  <c r="D33" i="21" s="1"/>
  <c r="G9" i="4" l="1"/>
  <c r="D9" i="4"/>
  <c r="G6" i="11"/>
  <c r="G26" i="11" s="1"/>
  <c r="C23" i="1"/>
  <c r="B23" i="1" l="1"/>
  <c r="C12" i="11"/>
  <c r="D12" i="11" s="1"/>
  <c r="I7" i="8" l="1"/>
  <c r="J7" i="8" s="1"/>
  <c r="F7" i="8"/>
  <c r="G7" i="8" s="1"/>
  <c r="C7" i="8"/>
  <c r="D7" i="8" l="1"/>
  <c r="D39" i="21"/>
  <c r="D37" i="21"/>
  <c r="G17" i="21"/>
  <c r="D17" i="21"/>
  <c r="J7" i="4"/>
  <c r="G7" i="4"/>
  <c r="D7" i="4"/>
  <c r="G25" i="21" l="1"/>
  <c r="G33" i="21" s="1"/>
  <c r="B34" i="21" l="1"/>
  <c r="B40" i="21" s="1"/>
  <c r="B41" i="21" s="1"/>
  <c r="E34" i="21" l="1"/>
  <c r="E40" i="21" s="1"/>
  <c r="E41" i="21" s="1"/>
  <c r="D34" i="21"/>
  <c r="D40" i="21" s="1"/>
  <c r="D41" i="21" s="1"/>
  <c r="G34" i="21" l="1"/>
  <c r="G40" i="21" s="1"/>
  <c r="G41" i="21" s="1"/>
  <c r="H34" i="21"/>
  <c r="H40" i="21" s="1"/>
  <c r="H41" i="21" s="1"/>
  <c r="J34" i="21" l="1"/>
  <c r="J40" i="21" s="1"/>
  <c r="J41" i="21" s="1"/>
  <c r="K34" i="21"/>
  <c r="K40" i="21" s="1"/>
  <c r="K41" i="21" s="1"/>
  <c r="C4" i="8"/>
  <c r="C10" i="8" s="1"/>
  <c r="B32" i="1" l="1"/>
  <c r="C15" i="8"/>
  <c r="N34" i="21"/>
  <c r="N40" i="21" s="1"/>
  <c r="N41" i="21" s="1"/>
  <c r="M34" i="21"/>
  <c r="M40" i="21" s="1"/>
  <c r="M41" i="21" s="1"/>
  <c r="P34" i="21" l="1"/>
  <c r="P40" i="21" s="1"/>
  <c r="P41" i="21" s="1"/>
  <c r="Q34" i="21"/>
  <c r="Q40" i="21" s="1"/>
  <c r="Q41" i="21" s="1"/>
  <c r="S34" i="21" l="1"/>
  <c r="S40" i="21" s="1"/>
  <c r="S41" i="21" s="1"/>
  <c r="D23" i="1" l="1"/>
  <c r="E8" i="2" l="1"/>
  <c r="G8" i="2"/>
  <c r="J8" i="2" s="1"/>
  <c r="M8" i="2" s="1"/>
  <c r="P8" i="2" s="1"/>
  <c r="S8" i="2" s="1"/>
  <c r="F8" i="2"/>
  <c r="K8" i="2" l="1"/>
  <c r="G34" i="2"/>
  <c r="J34" i="2" s="1"/>
  <c r="M34" i="2" s="1"/>
  <c r="P34" i="2" s="1"/>
  <c r="S34" i="2" s="1"/>
  <c r="D34" i="2"/>
  <c r="H8" i="2"/>
  <c r="F3" i="3"/>
  <c r="I3" i="3" s="1"/>
  <c r="L3" i="3" s="1"/>
  <c r="C10" i="3" s="1"/>
  <c r="F10" i="3" s="1"/>
  <c r="I10" i="3" s="1"/>
  <c r="L10" i="3" s="1"/>
  <c r="O10" i="3" s="1"/>
  <c r="R10" i="3" s="1"/>
  <c r="D6" i="21"/>
  <c r="F5" i="4"/>
  <c r="R5" i="4" s="1"/>
  <c r="C17" i="4" s="1"/>
  <c r="F17" i="4" s="1"/>
  <c r="I17" i="4" s="1"/>
  <c r="L17" i="4" s="1"/>
  <c r="O17" i="4" s="1"/>
  <c r="R17" i="4" s="1"/>
  <c r="F4" i="4"/>
  <c r="F10" i="4" s="1"/>
  <c r="E4" i="4"/>
  <c r="N8" i="2" l="1"/>
  <c r="I4" i="4"/>
  <c r="I10" i="4" s="1"/>
  <c r="H4" i="4"/>
  <c r="H10" i="4" s="1"/>
  <c r="J8" i="4"/>
  <c r="K4" i="4" l="1"/>
  <c r="K10" i="4" s="1"/>
  <c r="L4" i="4"/>
  <c r="L10" i="4" s="1"/>
  <c r="Q8" i="2"/>
  <c r="J4" i="4"/>
  <c r="R8" i="4"/>
  <c r="C20" i="4" s="1"/>
  <c r="F20" i="4" l="1"/>
  <c r="O4" i="4"/>
  <c r="O10" i="4" s="1"/>
  <c r="M4" i="4"/>
  <c r="M10" i="4" s="1"/>
  <c r="N4" i="4"/>
  <c r="N10" i="4" s="1"/>
  <c r="S8" i="4"/>
  <c r="B20" i="4"/>
  <c r="B22" i="4" s="1"/>
  <c r="F34" i="2"/>
  <c r="C34" i="2"/>
  <c r="E34" i="2" s="1"/>
  <c r="T8" i="2"/>
  <c r="I20" i="4" l="1"/>
  <c r="P4" i="4"/>
  <c r="P10" i="4" s="1"/>
  <c r="D20" i="4"/>
  <c r="E20" i="4"/>
  <c r="R4" i="4"/>
  <c r="R10" i="4" s="1"/>
  <c r="H34" i="2"/>
  <c r="F7" i="6"/>
  <c r="E7" i="6"/>
  <c r="G22" i="2"/>
  <c r="J22" i="2" s="1"/>
  <c r="M22" i="2" s="1"/>
  <c r="P22" i="2" s="1"/>
  <c r="S22" i="2" s="1"/>
  <c r="G14" i="2"/>
  <c r="J14" i="2" s="1"/>
  <c r="M14" i="2" s="1"/>
  <c r="P14" i="2" s="1"/>
  <c r="S14" i="2" s="1"/>
  <c r="L20" i="4" l="1"/>
  <c r="C16" i="4"/>
  <c r="S4" i="4"/>
  <c r="G20" i="4"/>
  <c r="E16" i="4"/>
  <c r="G40" i="2"/>
  <c r="J40" i="2" s="1"/>
  <c r="M40" i="2" s="1"/>
  <c r="P40" i="2" s="1"/>
  <c r="S40" i="2" s="1"/>
  <c r="D40" i="2"/>
  <c r="D48" i="2"/>
  <c r="G48" i="2"/>
  <c r="J48" i="2" s="1"/>
  <c r="M48" i="2" s="1"/>
  <c r="P48" i="2" s="1"/>
  <c r="S48" i="2" s="1"/>
  <c r="I7" i="6"/>
  <c r="F8" i="6"/>
  <c r="H7" i="6"/>
  <c r="H8" i="6" s="1"/>
  <c r="E8" i="6"/>
  <c r="D16" i="4" l="1"/>
  <c r="C22" i="4"/>
  <c r="F16" i="4"/>
  <c r="O20" i="4"/>
  <c r="H16" i="4"/>
  <c r="J20" i="4"/>
  <c r="O34" i="2"/>
  <c r="N34" i="2"/>
  <c r="K7" i="6"/>
  <c r="J7" i="6"/>
  <c r="J8" i="6" s="1"/>
  <c r="K8" i="6"/>
  <c r="L7" i="6"/>
  <c r="L8" i="6" s="1"/>
  <c r="I8" i="6"/>
  <c r="G16" i="4" l="1"/>
  <c r="F22" i="4"/>
  <c r="I16" i="4"/>
  <c r="I22" i="4" s="1"/>
  <c r="R20" i="4"/>
  <c r="M20" i="4"/>
  <c r="N20" i="4"/>
  <c r="J16" i="4"/>
  <c r="K16" i="4"/>
  <c r="R34" i="2"/>
  <c r="T34" i="2" s="1"/>
  <c r="Q34" i="2"/>
  <c r="M7" i="6"/>
  <c r="M8" i="6" s="1"/>
  <c r="L16" i="4" l="1"/>
  <c r="L22" i="4" s="1"/>
  <c r="J20" i="1"/>
  <c r="N16" i="4"/>
  <c r="M16" i="4"/>
  <c r="P20" i="4"/>
  <c r="Q20" i="4"/>
  <c r="S20" i="4" s="1"/>
  <c r="O16" i="4" l="1"/>
  <c r="O22" i="4" s="1"/>
  <c r="Q16" i="4"/>
  <c r="P16" i="4"/>
  <c r="E5" i="25"/>
  <c r="F5" i="25" s="1"/>
  <c r="G5" i="25" s="1"/>
  <c r="H5" i="25" s="1"/>
  <c r="I5" i="25" s="1"/>
  <c r="E6" i="25"/>
  <c r="F6" i="25" s="1"/>
  <c r="G6" i="25" s="1"/>
  <c r="H6" i="25" s="1"/>
  <c r="I6" i="25" s="1"/>
  <c r="E7" i="25"/>
  <c r="F7" i="25" s="1"/>
  <c r="G7" i="25" s="1"/>
  <c r="H7" i="25" s="1"/>
  <c r="I7" i="25" s="1"/>
  <c r="E8" i="25"/>
  <c r="F8" i="25" s="1"/>
  <c r="G8" i="25" s="1"/>
  <c r="H8" i="25" s="1"/>
  <c r="I8" i="25" s="1"/>
  <c r="E9" i="25"/>
  <c r="F9" i="25" s="1"/>
  <c r="G9" i="25" s="1"/>
  <c r="H9" i="25" s="1"/>
  <c r="I9" i="25" s="1"/>
  <c r="E10" i="25"/>
  <c r="F10" i="25" s="1"/>
  <c r="G10" i="25" s="1"/>
  <c r="H10" i="25" s="1"/>
  <c r="I10" i="25" s="1"/>
  <c r="E11" i="25"/>
  <c r="F11" i="25" s="1"/>
  <c r="G11" i="25" s="1"/>
  <c r="H11" i="25" s="1"/>
  <c r="I11" i="25" s="1"/>
  <c r="E4" i="25"/>
  <c r="F4" i="25" s="1"/>
  <c r="G4" i="25" s="1"/>
  <c r="H4" i="25" s="1"/>
  <c r="I4" i="25" s="1"/>
  <c r="F2" i="25"/>
  <c r="G2" i="25" s="1"/>
  <c r="H2" i="25" s="1"/>
  <c r="I2" i="25" s="1"/>
  <c r="R16" i="4" l="1"/>
  <c r="R22" i="4" s="1"/>
  <c r="L20" i="1"/>
  <c r="N3" i="26"/>
  <c r="S16" i="4" l="1"/>
  <c r="N19" i="26"/>
  <c r="C3" i="23"/>
  <c r="C5" i="23" s="1"/>
  <c r="E25" i="4"/>
  <c r="B31" i="23" l="1"/>
  <c r="B32" i="23" l="1"/>
  <c r="N3" i="22"/>
  <c r="N2" i="22"/>
  <c r="N4" i="22" l="1"/>
  <c r="N5" i="22" l="1"/>
  <c r="N19" i="22" l="1"/>
  <c r="G21" i="22"/>
  <c r="N15" i="22"/>
  <c r="I4" i="8"/>
  <c r="F4" i="8"/>
  <c r="D4" i="8"/>
  <c r="D10" i="8" s="1"/>
  <c r="B33" i="1" l="1"/>
  <c r="D15" i="8"/>
  <c r="G4" i="8"/>
  <c r="G10" i="8" s="1"/>
  <c r="G15" i="8" s="1"/>
  <c r="F10" i="8"/>
  <c r="J4" i="8"/>
  <c r="J10" i="8" s="1"/>
  <c r="J15" i="8" s="1"/>
  <c r="D33" i="1" s="1"/>
  <c r="I10" i="8"/>
  <c r="I15" i="8" s="1"/>
  <c r="D32" i="1" s="1"/>
  <c r="N18" i="22"/>
  <c r="N16" i="22"/>
  <c r="N17" i="22"/>
  <c r="N14" i="22"/>
  <c r="N13" i="22"/>
  <c r="N12" i="22"/>
  <c r="C32" i="1" l="1"/>
  <c r="N32" i="1" s="1"/>
  <c r="F15" i="8"/>
  <c r="E12" i="25"/>
  <c r="F12" i="25"/>
  <c r="G12" i="25"/>
  <c r="H12" i="25"/>
  <c r="I12" i="25"/>
  <c r="D12" i="25"/>
  <c r="J5" i="25"/>
  <c r="J6" i="25"/>
  <c r="J7" i="25"/>
  <c r="J8" i="25"/>
  <c r="J9" i="25"/>
  <c r="J10" i="25"/>
  <c r="J11" i="25"/>
  <c r="J4" i="25"/>
  <c r="J12" i="25" l="1"/>
  <c r="N5" i="27" l="1"/>
  <c r="C6" i="27"/>
  <c r="D6" i="27"/>
  <c r="B6" i="27"/>
  <c r="F4" i="22" l="1"/>
  <c r="D44" i="1" l="1"/>
  <c r="E44" i="1"/>
  <c r="F44" i="1"/>
  <c r="G44" i="1"/>
  <c r="H44" i="1"/>
  <c r="I44" i="1"/>
  <c r="J44" i="1"/>
  <c r="K44" i="1"/>
  <c r="L44" i="1"/>
  <c r="M44" i="1"/>
  <c r="D45" i="1"/>
  <c r="E45" i="1"/>
  <c r="F45" i="1"/>
  <c r="H45" i="1"/>
  <c r="I45" i="1"/>
  <c r="J45" i="1"/>
  <c r="K45" i="1"/>
  <c r="L45" i="1"/>
  <c r="M45" i="1"/>
  <c r="D46" i="1"/>
  <c r="E46" i="1"/>
  <c r="F46" i="1"/>
  <c r="G46" i="1"/>
  <c r="H46" i="1"/>
  <c r="K46" i="1"/>
  <c r="J46" i="1"/>
  <c r="D47" i="1"/>
  <c r="E47" i="1"/>
  <c r="F47" i="1"/>
  <c r="G47" i="1"/>
  <c r="H47" i="1"/>
  <c r="K47" i="1"/>
  <c r="J47" i="1"/>
  <c r="L47" i="1"/>
  <c r="M47" i="1"/>
  <c r="C44" i="1"/>
  <c r="C45" i="1"/>
  <c r="C46" i="1"/>
  <c r="C47" i="1"/>
  <c r="B47" i="1"/>
  <c r="B46" i="1"/>
  <c r="B45" i="1"/>
  <c r="B44" i="1"/>
  <c r="J6" i="19"/>
  <c r="J5" i="19"/>
  <c r="J12" i="21"/>
  <c r="D12" i="21"/>
  <c r="G12" i="21"/>
  <c r="G10" i="21"/>
  <c r="D10" i="21"/>
  <c r="G23" i="1" l="1"/>
  <c r="H34" i="1"/>
  <c r="I34" i="1" l="1"/>
  <c r="H21" i="22"/>
  <c r="I21" i="22"/>
  <c r="J21" i="22"/>
  <c r="C4" i="22"/>
  <c r="D4" i="22"/>
  <c r="E4" i="22"/>
  <c r="G4" i="22"/>
  <c r="H4" i="22"/>
  <c r="I4" i="22"/>
  <c r="J4" i="22"/>
  <c r="K4" i="22"/>
  <c r="L4" i="22"/>
  <c r="M4" i="22"/>
  <c r="N21" i="22" l="1"/>
  <c r="J34" i="1"/>
  <c r="F14" i="2"/>
  <c r="I14" i="2" s="1"/>
  <c r="F12" i="2"/>
  <c r="I12" i="2" s="1"/>
  <c r="F7" i="2"/>
  <c r="I7" i="2" s="1"/>
  <c r="L7" i="2" s="1"/>
  <c r="F9" i="9"/>
  <c r="F46" i="9" s="1"/>
  <c r="L12" i="2" l="1"/>
  <c r="L14" i="2"/>
  <c r="K14" i="2"/>
  <c r="O7" i="2"/>
  <c r="C35" i="1"/>
  <c r="K34" i="1"/>
  <c r="O14" i="2" l="1"/>
  <c r="N14" i="2"/>
  <c r="L34" i="1"/>
  <c r="E10" i="10"/>
  <c r="E11" i="10" s="1"/>
  <c r="B11" i="10"/>
  <c r="H10" i="10"/>
  <c r="H11" i="10" s="1"/>
  <c r="K10" i="10"/>
  <c r="K11" i="10" s="1"/>
  <c r="N10" i="10"/>
  <c r="N11" i="10" s="1"/>
  <c r="C6" i="11"/>
  <c r="G9" i="9"/>
  <c r="G46" i="9" s="1"/>
  <c r="F33" i="2" l="1"/>
  <c r="C33" i="2"/>
  <c r="Q14" i="2"/>
  <c r="D6" i="11"/>
  <c r="F40" i="2" l="1"/>
  <c r="C40" i="2"/>
  <c r="E40" i="2" s="1"/>
  <c r="T14" i="2"/>
  <c r="F38" i="2"/>
  <c r="C38" i="2"/>
  <c r="M34" i="1"/>
  <c r="H40" i="2" l="1"/>
  <c r="E6" i="27"/>
  <c r="F6" i="27"/>
  <c r="G6" i="27"/>
  <c r="H6" i="27"/>
  <c r="I6" i="27"/>
  <c r="J6" i="27"/>
  <c r="K6" i="27"/>
  <c r="L6" i="27"/>
  <c r="M6" i="2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6" i="17"/>
  <c r="D31" i="17"/>
  <c r="E31" i="17"/>
  <c r="F31" i="17"/>
  <c r="G31" i="17"/>
  <c r="H31" i="17"/>
  <c r="I31" i="17"/>
  <c r="J31" i="17"/>
  <c r="K31" i="17"/>
  <c r="L31" i="17"/>
  <c r="M31" i="17"/>
  <c r="N2" i="17"/>
  <c r="B61" i="23" s="1"/>
  <c r="B63" i="23" s="1"/>
  <c r="G3" i="17"/>
  <c r="H3" i="17"/>
  <c r="I3" i="17"/>
  <c r="J3" i="17"/>
  <c r="K3" i="17"/>
  <c r="L3" i="17"/>
  <c r="M3" i="17"/>
  <c r="J16" i="21"/>
  <c r="J20" i="21" s="1"/>
  <c r="G16" i="21"/>
  <c r="D16" i="21"/>
  <c r="O33" i="2" l="1"/>
  <c r="N3" i="17"/>
  <c r="O38" i="2" l="1"/>
  <c r="R33" i="2"/>
  <c r="O40" i="2"/>
  <c r="N40" i="2"/>
  <c r="F23" i="1"/>
  <c r="R38" i="2" l="1"/>
  <c r="R40" i="2"/>
  <c r="T40" i="2" s="1"/>
  <c r="Q40" i="2"/>
  <c r="D4" i="19"/>
  <c r="E5" i="4" l="1"/>
  <c r="E10" i="4" s="1"/>
  <c r="E3" i="25"/>
  <c r="E13" i="25" s="1"/>
  <c r="D3" i="25"/>
  <c r="D13" i="25" s="1"/>
  <c r="F3" i="25"/>
  <c r="F13" i="25" s="1"/>
  <c r="G3" i="25"/>
  <c r="G13" i="25" s="1"/>
  <c r="H3" i="25"/>
  <c r="H13" i="25" s="1"/>
  <c r="I3" i="25"/>
  <c r="I13" i="25" s="1"/>
  <c r="J3" i="25" l="1"/>
  <c r="C62" i="1"/>
  <c r="D62" i="1"/>
  <c r="B62" i="1"/>
  <c r="N62" i="1" s="1"/>
  <c r="D4" i="10" l="1"/>
  <c r="J5" i="4"/>
  <c r="J10" i="4" s="1"/>
  <c r="M42" i="5"/>
  <c r="M46" i="1" s="1"/>
  <c r="L46" i="1"/>
  <c r="J13" i="25"/>
  <c r="B91" i="1" l="1"/>
  <c r="N91" i="1" s="1"/>
  <c r="B92" i="1"/>
  <c r="N92" i="1" s="1"/>
  <c r="B93" i="1"/>
  <c r="N93" i="1" s="1"/>
  <c r="B94" i="1"/>
  <c r="N94" i="1" s="1"/>
  <c r="B95" i="1"/>
  <c r="N95" i="1" s="1"/>
  <c r="B96" i="1"/>
  <c r="N96" i="1" s="1"/>
  <c r="B97" i="1"/>
  <c r="N97" i="1" s="1"/>
  <c r="B98" i="1"/>
  <c r="N98" i="1" s="1"/>
  <c r="B99" i="1"/>
  <c r="N99" i="1" s="1"/>
  <c r="B100" i="1"/>
  <c r="N100" i="1" s="1"/>
  <c r="B101" i="1"/>
  <c r="N101" i="1" s="1"/>
  <c r="B102" i="1"/>
  <c r="N102" i="1" s="1"/>
  <c r="B103" i="1"/>
  <c r="N103" i="1" s="1"/>
  <c r="B104" i="1"/>
  <c r="N104" i="1" s="1"/>
  <c r="B105" i="1"/>
  <c r="N105" i="1" s="1"/>
  <c r="B106" i="1"/>
  <c r="N106" i="1" s="1"/>
  <c r="B107" i="1"/>
  <c r="N107" i="1" s="1"/>
  <c r="B108" i="1"/>
  <c r="N108" i="1" s="1"/>
  <c r="B109" i="1"/>
  <c r="N109" i="1" s="1"/>
  <c r="B110" i="1"/>
  <c r="N110" i="1" s="1"/>
  <c r="B111" i="1"/>
  <c r="N111" i="1" s="1"/>
  <c r="B112" i="1"/>
  <c r="N112" i="1" s="1"/>
  <c r="B113" i="1"/>
  <c r="N113" i="1" s="1"/>
  <c r="B114" i="1"/>
  <c r="N114" i="1" s="1"/>
  <c r="B90" i="1"/>
  <c r="C31" i="17"/>
  <c r="B31" i="17"/>
  <c r="B115" i="1" l="1"/>
  <c r="N90" i="1"/>
  <c r="N115" i="1" s="1"/>
  <c r="N31" i="17"/>
  <c r="S5" i="4" l="1"/>
  <c r="S10" i="4" s="1"/>
  <c r="C62" i="23"/>
  <c r="D17" i="4" l="1"/>
  <c r="D22" i="4" s="1"/>
  <c r="E22" i="4"/>
  <c r="H22" i="4" l="1"/>
  <c r="G17" i="4"/>
  <c r="G22" i="4" s="1"/>
  <c r="K22" i="4" l="1"/>
  <c r="J17" i="4"/>
  <c r="J22" i="4" s="1"/>
  <c r="N3" i="27"/>
  <c r="N4" i="27"/>
  <c r="N2" i="27"/>
  <c r="N10" i="27"/>
  <c r="N15" i="27"/>
  <c r="N11" i="27"/>
  <c r="N12" i="27"/>
  <c r="N13" i="27"/>
  <c r="N14" i="27"/>
  <c r="N16" i="27"/>
  <c r="N17" i="27"/>
  <c r="N18" i="27"/>
  <c r="N17" i="4" l="1"/>
  <c r="N22" i="4" s="1"/>
  <c r="M17" i="4"/>
  <c r="M22" i="4" s="1"/>
  <c r="J21" i="1"/>
  <c r="N19" i="27"/>
  <c r="N6" i="27"/>
  <c r="N22" i="22"/>
  <c r="P17" i="4" l="1"/>
  <c r="P22" i="4" s="1"/>
  <c r="Q17" i="4"/>
  <c r="Q22" i="4" s="1"/>
  <c r="N20" i="27"/>
  <c r="S17" i="4" l="1"/>
  <c r="S22" i="4" s="1"/>
  <c r="E4" i="17"/>
  <c r="E20" i="26" s="1"/>
  <c r="E21" i="26" s="1"/>
  <c r="E45" i="26" s="1"/>
  <c r="G4" i="17"/>
  <c r="G20" i="26" s="1"/>
  <c r="G21" i="26" s="1"/>
  <c r="G45" i="26" s="1"/>
  <c r="H4" i="17"/>
  <c r="H20" i="26" s="1"/>
  <c r="H21" i="26" s="1"/>
  <c r="H45" i="26" s="1"/>
  <c r="I4" i="17"/>
  <c r="I20" i="26" s="1"/>
  <c r="I21" i="26" s="1"/>
  <c r="I45" i="26" s="1"/>
  <c r="K4" i="17"/>
  <c r="K20" i="26" s="1"/>
  <c r="K21" i="26" s="1"/>
  <c r="K45" i="26" s="1"/>
  <c r="L4" i="17"/>
  <c r="L20" i="26" s="1"/>
  <c r="L21" i="26" s="1"/>
  <c r="L45" i="26" s="1"/>
  <c r="M4" i="17"/>
  <c r="M20" i="26" s="1"/>
  <c r="M21" i="26" s="1"/>
  <c r="M45" i="26" s="1"/>
  <c r="B4" i="17"/>
  <c r="B20" i="26" s="1"/>
  <c r="C4" i="17"/>
  <c r="C20" i="26" s="1"/>
  <c r="C21" i="26" s="1"/>
  <c r="C45" i="26" s="1"/>
  <c r="D4" i="17"/>
  <c r="D20" i="26" s="1"/>
  <c r="D21" i="26" s="1"/>
  <c r="D45" i="26" s="1"/>
  <c r="F4" i="17"/>
  <c r="J4" i="17"/>
  <c r="J20" i="26" s="1"/>
  <c r="J21" i="26" s="1"/>
  <c r="J45" i="26" s="1"/>
  <c r="B21" i="26" l="1"/>
  <c r="B45" i="26" s="1"/>
  <c r="N20" i="26"/>
  <c r="N4" i="17"/>
  <c r="C60" i="23" s="1"/>
  <c r="C63" i="23" s="1"/>
  <c r="N21" i="26" l="1"/>
  <c r="C8" i="11"/>
  <c r="N45" i="26" l="1"/>
  <c r="C9" i="23"/>
  <c r="C10" i="23" s="1"/>
  <c r="C23" i="23" s="1"/>
  <c r="C32" i="23" s="1"/>
  <c r="C11" i="23"/>
  <c r="D8" i="11"/>
  <c r="N32" i="17"/>
  <c r="Q10" i="10" l="1"/>
  <c r="Q11" i="10" s="1"/>
  <c r="I10" i="10"/>
  <c r="I11" i="10" s="1"/>
  <c r="D29" i="1" s="1"/>
  <c r="C7" i="3" l="1"/>
  <c r="B17" i="1" s="1"/>
  <c r="B7" i="3"/>
  <c r="J9" i="21"/>
  <c r="G9" i="21"/>
  <c r="D9" i="21"/>
  <c r="E3" i="7"/>
  <c r="E3" i="3"/>
  <c r="H3" i="3" s="1"/>
  <c r="C6" i="10"/>
  <c r="C9" i="10" s="1"/>
  <c r="D8" i="10"/>
  <c r="A50" i="2"/>
  <c r="F22" i="2"/>
  <c r="I22" i="2" s="1"/>
  <c r="F21" i="2"/>
  <c r="I21" i="2" s="1"/>
  <c r="F20" i="2"/>
  <c r="I20" i="2" s="1"/>
  <c r="F19" i="2"/>
  <c r="I19" i="2" s="1"/>
  <c r="F18" i="2"/>
  <c r="I18" i="2" s="1"/>
  <c r="F15" i="2"/>
  <c r="I15" i="2" s="1"/>
  <c r="F4" i="2"/>
  <c r="I4" i="2" s="1"/>
  <c r="L4" i="2" s="1"/>
  <c r="F3" i="2"/>
  <c r="I3" i="2" s="1"/>
  <c r="L3" i="2" s="1"/>
  <c r="D3" i="19"/>
  <c r="J3" i="19"/>
  <c r="J8" i="19" s="1"/>
  <c r="R3" i="19"/>
  <c r="G5" i="19"/>
  <c r="Q6" i="19"/>
  <c r="R6" i="19"/>
  <c r="Q11" i="19"/>
  <c r="R11" i="19"/>
  <c r="D12" i="19"/>
  <c r="N12" i="19"/>
  <c r="E6" i="2"/>
  <c r="O13" i="19"/>
  <c r="R13" i="19" s="1"/>
  <c r="D13" i="19"/>
  <c r="D66" i="1"/>
  <c r="C56" i="1"/>
  <c r="B74" i="1"/>
  <c r="B68" i="1"/>
  <c r="D69" i="1"/>
  <c r="C69" i="1"/>
  <c r="B69" i="1"/>
  <c r="D63" i="1"/>
  <c r="D68" i="1"/>
  <c r="C68" i="1"/>
  <c r="G19" i="21"/>
  <c r="G20" i="21" s="1"/>
  <c r="E4" i="6"/>
  <c r="B9" i="1"/>
  <c r="H8" i="19"/>
  <c r="I8" i="19"/>
  <c r="D9" i="1" s="1"/>
  <c r="C20" i="11"/>
  <c r="C26" i="11" s="1"/>
  <c r="D4" i="21"/>
  <c r="D8" i="21"/>
  <c r="D19" i="21"/>
  <c r="D20" i="21" s="1"/>
  <c r="J4" i="21"/>
  <c r="J8" i="21"/>
  <c r="F3" i="7"/>
  <c r="D3" i="7"/>
  <c r="D4" i="7" s="1"/>
  <c r="B13" i="1" s="1"/>
  <c r="G5" i="4"/>
  <c r="G8" i="4"/>
  <c r="C66" i="1"/>
  <c r="B67" i="1"/>
  <c r="B66" i="1"/>
  <c r="C52" i="1"/>
  <c r="D52" i="1"/>
  <c r="C53" i="1"/>
  <c r="C59" i="1"/>
  <c r="D59" i="1"/>
  <c r="C63" i="1"/>
  <c r="C65" i="1"/>
  <c r="C71" i="1"/>
  <c r="D71" i="1"/>
  <c r="C72" i="1"/>
  <c r="D72" i="1"/>
  <c r="C74" i="1"/>
  <c r="D74" i="1"/>
  <c r="C75" i="1"/>
  <c r="D75" i="1"/>
  <c r="B52" i="1"/>
  <c r="B53" i="1"/>
  <c r="B57" i="1"/>
  <c r="B58" i="1"/>
  <c r="B59" i="1"/>
  <c r="B60" i="1"/>
  <c r="B61" i="1"/>
  <c r="B63" i="1"/>
  <c r="N63" i="1" s="1"/>
  <c r="B64" i="1"/>
  <c r="B65" i="1"/>
  <c r="B70" i="1"/>
  <c r="B71" i="1"/>
  <c r="B72" i="1"/>
  <c r="B75" i="1"/>
  <c r="B76" i="1"/>
  <c r="B77" i="1"/>
  <c r="B51" i="1"/>
  <c r="N51" i="1" s="1"/>
  <c r="C57" i="1"/>
  <c r="C58" i="1"/>
  <c r="C60" i="1"/>
  <c r="C61" i="1"/>
  <c r="C27" i="5"/>
  <c r="C77" i="1"/>
  <c r="C4" i="7"/>
  <c r="B12" i="1" s="1"/>
  <c r="B4" i="7"/>
  <c r="C20" i="1"/>
  <c r="G25" i="2"/>
  <c r="J25" i="2" s="1"/>
  <c r="M25" i="2" s="1"/>
  <c r="C48" i="1"/>
  <c r="E48" i="1"/>
  <c r="B48" i="1"/>
  <c r="D4" i="4"/>
  <c r="D5" i="4"/>
  <c r="D8" i="4"/>
  <c r="D4" i="3"/>
  <c r="D6" i="3"/>
  <c r="C38" i="1"/>
  <c r="D38" i="1" s="1"/>
  <c r="C15" i="1"/>
  <c r="D15" i="1" s="1"/>
  <c r="E15" i="1" s="1"/>
  <c r="A7" i="7"/>
  <c r="A7" i="6"/>
  <c r="B4" i="6"/>
  <c r="C4" i="6"/>
  <c r="B6" i="1" s="1"/>
  <c r="D4" i="6"/>
  <c r="B7" i="1" s="1"/>
  <c r="A51" i="2"/>
  <c r="A49" i="2"/>
  <c r="A48" i="2"/>
  <c r="A47" i="2"/>
  <c r="A46" i="2"/>
  <c r="A45" i="2"/>
  <c r="A44" i="2"/>
  <c r="A42" i="2"/>
  <c r="A41" i="2"/>
  <c r="A38" i="2"/>
  <c r="A36" i="2"/>
  <c r="A35" i="2"/>
  <c r="A33" i="2"/>
  <c r="A31" i="2"/>
  <c r="A30" i="2"/>
  <c r="A29" i="2"/>
  <c r="B44" i="5"/>
  <c r="C44" i="5"/>
  <c r="D44" i="5"/>
  <c r="E44" i="5"/>
  <c r="F44" i="5"/>
  <c r="G44" i="5"/>
  <c r="N40" i="5"/>
  <c r="N41" i="5"/>
  <c r="G4" i="4"/>
  <c r="D3" i="3"/>
  <c r="D77" i="1"/>
  <c r="D60" i="1"/>
  <c r="D61" i="1"/>
  <c r="D56" i="1"/>
  <c r="D65" i="1"/>
  <c r="D67" i="1"/>
  <c r="C67" i="1"/>
  <c r="C64" i="1"/>
  <c r="G9" i="2"/>
  <c r="J9" i="2" s="1"/>
  <c r="M9" i="2" s="1"/>
  <c r="P9" i="2" s="1"/>
  <c r="S9" i="2" s="1"/>
  <c r="E21" i="2"/>
  <c r="E18" i="2"/>
  <c r="G18" i="2"/>
  <c r="J18" i="2" s="1"/>
  <c r="M18" i="2" s="1"/>
  <c r="P18" i="2" s="1"/>
  <c r="S18" i="2" s="1"/>
  <c r="E16" i="2"/>
  <c r="C70" i="1"/>
  <c r="F25" i="2"/>
  <c r="I25" i="2" s="1"/>
  <c r="E25" i="2"/>
  <c r="B20" i="1"/>
  <c r="C76" i="1"/>
  <c r="D70" i="1"/>
  <c r="D20" i="1"/>
  <c r="G4" i="6"/>
  <c r="C7" i="1" s="1"/>
  <c r="J3" i="6"/>
  <c r="J4" i="6" s="1"/>
  <c r="D7" i="1" s="1"/>
  <c r="I4" i="6"/>
  <c r="D6" i="1" s="1"/>
  <c r="F4" i="6"/>
  <c r="H4" i="6"/>
  <c r="K4" i="6"/>
  <c r="H14" i="2"/>
  <c r="E9" i="1"/>
  <c r="D64" i="1"/>
  <c r="G13" i="19"/>
  <c r="F35" i="1"/>
  <c r="E35" i="1"/>
  <c r="D48" i="1"/>
  <c r="D53" i="1"/>
  <c r="G3" i="19"/>
  <c r="S11" i="19"/>
  <c r="G12" i="19"/>
  <c r="G6" i="19"/>
  <c r="G4" i="19"/>
  <c r="P3" i="19"/>
  <c r="Q3" i="19"/>
  <c r="P11" i="19"/>
  <c r="M6" i="19"/>
  <c r="M5" i="19"/>
  <c r="K48" i="1"/>
  <c r="K44" i="5"/>
  <c r="J44" i="5"/>
  <c r="H44" i="5"/>
  <c r="M44" i="5"/>
  <c r="E39" i="1"/>
  <c r="F39" i="1" s="1"/>
  <c r="G39" i="1" s="1"/>
  <c r="H39" i="1" s="1"/>
  <c r="I39" i="1" s="1"/>
  <c r="J39" i="1" s="1"/>
  <c r="K39" i="1" s="1"/>
  <c r="L39" i="1" s="1"/>
  <c r="M39" i="1" s="1"/>
  <c r="E36" i="1"/>
  <c r="F7" i="3"/>
  <c r="C17" i="1" s="1"/>
  <c r="D5" i="3"/>
  <c r="Q4" i="6"/>
  <c r="N4" i="6"/>
  <c r="N59" i="1" l="1"/>
  <c r="N52" i="1"/>
  <c r="N66" i="1"/>
  <c r="N71" i="1"/>
  <c r="N69" i="1"/>
  <c r="N74" i="1"/>
  <c r="C38" i="5"/>
  <c r="N75" i="1"/>
  <c r="N65" i="1"/>
  <c r="N60" i="1"/>
  <c r="N53" i="1"/>
  <c r="G10" i="4"/>
  <c r="C21" i="1" s="1"/>
  <c r="C22" i="1" s="1"/>
  <c r="B11" i="19"/>
  <c r="Q8" i="19"/>
  <c r="N72" i="1"/>
  <c r="N64" i="1"/>
  <c r="N68" i="1"/>
  <c r="D8" i="19"/>
  <c r="B10" i="1" s="1"/>
  <c r="B11" i="1" s="1"/>
  <c r="N77" i="1"/>
  <c r="N67" i="1"/>
  <c r="G8" i="19"/>
  <c r="D10" i="4"/>
  <c r="N70" i="1"/>
  <c r="N61" i="1"/>
  <c r="N56" i="1"/>
  <c r="C11" i="19"/>
  <c r="C14" i="19" s="1"/>
  <c r="R8" i="19"/>
  <c r="B87" i="1"/>
  <c r="C87" i="1"/>
  <c r="D20" i="11"/>
  <c r="D26" i="11" s="1"/>
  <c r="C10" i="10"/>
  <c r="J3" i="3"/>
  <c r="K3" i="3"/>
  <c r="J13" i="21"/>
  <c r="G51" i="2"/>
  <c r="J51" i="2" s="1"/>
  <c r="M51" i="2" s="1"/>
  <c r="P51" i="2" s="1"/>
  <c r="S51" i="2" s="1"/>
  <c r="D51" i="2"/>
  <c r="L19" i="2"/>
  <c r="L15" i="2"/>
  <c r="K21" i="2"/>
  <c r="L21" i="2"/>
  <c r="O3" i="2"/>
  <c r="G35" i="2"/>
  <c r="J35" i="2" s="1"/>
  <c r="P35" i="2" s="1"/>
  <c r="S35" i="2" s="1"/>
  <c r="D35" i="2"/>
  <c r="L18" i="2"/>
  <c r="K18" i="2"/>
  <c r="K22" i="2"/>
  <c r="L22" i="2"/>
  <c r="G44" i="2"/>
  <c r="J44" i="2" s="1"/>
  <c r="M44" i="2" s="1"/>
  <c r="P44" i="2" s="1"/>
  <c r="S44" i="2" s="1"/>
  <c r="D44" i="2"/>
  <c r="K25" i="2"/>
  <c r="L25" i="2"/>
  <c r="O4" i="2"/>
  <c r="D13" i="21"/>
  <c r="G13" i="21"/>
  <c r="P5" i="19"/>
  <c r="D27" i="5"/>
  <c r="D38" i="5" s="1"/>
  <c r="S4" i="19"/>
  <c r="C9" i="1"/>
  <c r="B14" i="19"/>
  <c r="B16" i="19" s="1"/>
  <c r="P4" i="19"/>
  <c r="D6" i="10"/>
  <c r="D9" i="10" s="1"/>
  <c r="Q12" i="19"/>
  <c r="C36" i="1"/>
  <c r="E37" i="1"/>
  <c r="D35" i="1"/>
  <c r="C6" i="1"/>
  <c r="C8" i="1" s="1"/>
  <c r="G3" i="3"/>
  <c r="G7" i="3" s="1"/>
  <c r="C18" i="1" s="1"/>
  <c r="C19" i="1" s="1"/>
  <c r="H7" i="3"/>
  <c r="F10" i="10"/>
  <c r="F11" i="10" s="1"/>
  <c r="C29" i="1" s="1"/>
  <c r="P6" i="19"/>
  <c r="S6" i="19" s="1"/>
  <c r="F9" i="1"/>
  <c r="G9" i="1"/>
  <c r="G3" i="7"/>
  <c r="G4" i="7" s="1"/>
  <c r="C13" i="1" s="1"/>
  <c r="E4" i="7"/>
  <c r="C33" i="1"/>
  <c r="N33" i="1" s="1"/>
  <c r="H22" i="2"/>
  <c r="H21" i="2"/>
  <c r="H25" i="2"/>
  <c r="E23" i="10"/>
  <c r="J10" i="10"/>
  <c r="J11" i="10" s="1"/>
  <c r="D30" i="1" s="1"/>
  <c r="O10" i="10"/>
  <c r="O11" i="10" s="1"/>
  <c r="F29" i="1" s="1"/>
  <c r="L10" i="10"/>
  <c r="L11" i="10" s="1"/>
  <c r="E29" i="1" s="1"/>
  <c r="S3" i="19"/>
  <c r="G10" i="10"/>
  <c r="R10" i="10"/>
  <c r="R11" i="10" s="1"/>
  <c r="G29" i="1" s="1"/>
  <c r="D21" i="1"/>
  <c r="D22" i="1" s="1"/>
  <c r="F15" i="1"/>
  <c r="G15" i="1" s="1"/>
  <c r="H15" i="1" s="1"/>
  <c r="I15" i="1" s="1"/>
  <c r="J15" i="1" s="1"/>
  <c r="K15" i="1" s="1"/>
  <c r="L15" i="1" s="1"/>
  <c r="M15" i="1" s="1"/>
  <c r="F48" i="1"/>
  <c r="I7" i="3"/>
  <c r="D17" i="1" s="1"/>
  <c r="R7" i="3"/>
  <c r="E7" i="3"/>
  <c r="D7" i="3"/>
  <c r="B18" i="1" s="1"/>
  <c r="E20" i="1"/>
  <c r="E21" i="1"/>
  <c r="H6" i="2"/>
  <c r="H16" i="2"/>
  <c r="P3" i="6"/>
  <c r="P4" i="6" s="1"/>
  <c r="F7" i="1" s="1"/>
  <c r="O4" i="6"/>
  <c r="F6" i="1" s="1"/>
  <c r="L4" i="6"/>
  <c r="E6" i="1" s="1"/>
  <c r="M3" i="6"/>
  <c r="M4" i="6" s="1"/>
  <c r="E7" i="1" s="1"/>
  <c r="C10" i="1"/>
  <c r="B8" i="1"/>
  <c r="J48" i="1"/>
  <c r="N47" i="1"/>
  <c r="C50" i="23" s="1"/>
  <c r="I44" i="5"/>
  <c r="L44" i="5"/>
  <c r="L48" i="1"/>
  <c r="D58" i="1"/>
  <c r="N58" i="1" s="1"/>
  <c r="D8" i="1"/>
  <c r="H18" i="2"/>
  <c r="N43" i="5"/>
  <c r="N42" i="5"/>
  <c r="I48" i="1"/>
  <c r="H48" i="1"/>
  <c r="E14" i="2"/>
  <c r="D7" i="6"/>
  <c r="O7" i="3"/>
  <c r="F4" i="7"/>
  <c r="C12" i="1" s="1"/>
  <c r="F36" i="1"/>
  <c r="F37" i="1" s="1"/>
  <c r="B14" i="1"/>
  <c r="N45" i="1"/>
  <c r="C48" i="23" s="1"/>
  <c r="G48" i="1"/>
  <c r="N44" i="1"/>
  <c r="C47" i="23" s="1"/>
  <c r="N39" i="1"/>
  <c r="D10" i="1"/>
  <c r="M48" i="1"/>
  <c r="N46" i="1"/>
  <c r="C49" i="23" s="1"/>
  <c r="D57" i="1"/>
  <c r="N57" i="1" s="1"/>
  <c r="K16" i="19"/>
  <c r="E38" i="1"/>
  <c r="F38" i="1" s="1"/>
  <c r="G38" i="1" s="1"/>
  <c r="H38" i="1" s="1"/>
  <c r="I38" i="1" s="1"/>
  <c r="J38" i="1" s="1"/>
  <c r="K38" i="1" s="1"/>
  <c r="L38" i="1" s="1"/>
  <c r="M38" i="1" s="1"/>
  <c r="L3" i="7"/>
  <c r="I4" i="7"/>
  <c r="D12" i="1" s="1"/>
  <c r="M4" i="19"/>
  <c r="D11" i="19" l="1"/>
  <c r="S8" i="19"/>
  <c r="G10" i="1" s="1"/>
  <c r="G11" i="1" s="1"/>
  <c r="P8" i="19"/>
  <c r="M8" i="19"/>
  <c r="E10" i="1" s="1"/>
  <c r="E11" i="1" s="1"/>
  <c r="B19" i="1"/>
  <c r="C37" i="1"/>
  <c r="N15" i="1"/>
  <c r="M3" i="3"/>
  <c r="O20" i="2"/>
  <c r="N25" i="2"/>
  <c r="O22" i="2"/>
  <c r="N22" i="2"/>
  <c r="N21" i="2"/>
  <c r="O19" i="2"/>
  <c r="O18" i="2"/>
  <c r="N18" i="2"/>
  <c r="O15" i="2"/>
  <c r="N38" i="1"/>
  <c r="E27" i="5"/>
  <c r="E38" i="5" s="1"/>
  <c r="C51" i="23"/>
  <c r="H9" i="1"/>
  <c r="K3" i="7"/>
  <c r="M3" i="7" s="1"/>
  <c r="M4" i="7" s="1"/>
  <c r="E13" i="1" s="1"/>
  <c r="J3" i="7"/>
  <c r="J4" i="7" s="1"/>
  <c r="D13" i="1" s="1"/>
  <c r="D14" i="1" s="1"/>
  <c r="H4" i="7"/>
  <c r="G11" i="10"/>
  <c r="C30" i="1" s="1"/>
  <c r="B24" i="1"/>
  <c r="B25" i="1" s="1"/>
  <c r="C11" i="1"/>
  <c r="C16" i="19"/>
  <c r="D8" i="6"/>
  <c r="H7" i="1" s="1"/>
  <c r="D76" i="1"/>
  <c r="C11" i="10"/>
  <c r="M12" i="19"/>
  <c r="O12" i="19"/>
  <c r="B35" i="1"/>
  <c r="C14" i="1"/>
  <c r="E23" i="1"/>
  <c r="C24" i="1"/>
  <c r="C25" i="1" s="1"/>
  <c r="D24" i="1"/>
  <c r="D25" i="1" s="1"/>
  <c r="G24" i="1"/>
  <c r="G25" i="1" s="1"/>
  <c r="F8" i="1"/>
  <c r="J7" i="3"/>
  <c r="D18" i="1" s="1"/>
  <c r="G23" i="10"/>
  <c r="I30" i="1" s="1"/>
  <c r="N23" i="27"/>
  <c r="F24" i="1"/>
  <c r="F25" i="1" s="1"/>
  <c r="E22" i="2"/>
  <c r="L7" i="3"/>
  <c r="E17" i="1" s="1"/>
  <c r="B21" i="1"/>
  <c r="B22" i="1" s="1"/>
  <c r="D36" i="1"/>
  <c r="D37" i="1" s="1"/>
  <c r="H23" i="10"/>
  <c r="C23" i="10"/>
  <c r="D23" i="10"/>
  <c r="H30" i="1" s="1"/>
  <c r="F23" i="10"/>
  <c r="I29" i="1" s="1"/>
  <c r="B23" i="10"/>
  <c r="H29" i="1" s="1"/>
  <c r="M10" i="10"/>
  <c r="M11" i="10" s="1"/>
  <c r="E30" i="1" s="1"/>
  <c r="B36" i="1"/>
  <c r="E8" i="1"/>
  <c r="D14" i="19"/>
  <c r="E22" i="1"/>
  <c r="N44" i="5"/>
  <c r="S4" i="6"/>
  <c r="G7" i="1" s="1"/>
  <c r="R4" i="6"/>
  <c r="D34" i="1"/>
  <c r="B51" i="23"/>
  <c r="N48" i="1"/>
  <c r="D31" i="1"/>
  <c r="F10" i="1"/>
  <c r="F11" i="1" s="1"/>
  <c r="F17" i="1"/>
  <c r="H6" i="1"/>
  <c r="B8" i="6"/>
  <c r="G35" i="1"/>
  <c r="G36" i="1"/>
  <c r="D11" i="1"/>
  <c r="O3" i="7"/>
  <c r="L4" i="7"/>
  <c r="E12" i="1" s="1"/>
  <c r="N13" i="19"/>
  <c r="N14" i="19" s="1"/>
  <c r="N16" i="19" s="1"/>
  <c r="M13" i="19"/>
  <c r="G11" i="19"/>
  <c r="G16" i="19" s="1"/>
  <c r="I10" i="1" s="1"/>
  <c r="D87" i="1" l="1"/>
  <c r="P3" i="3"/>
  <c r="Q18" i="2"/>
  <c r="Q21" i="2"/>
  <c r="Q25" i="2"/>
  <c r="C30" i="2"/>
  <c r="F30" i="2"/>
  <c r="F29" i="2"/>
  <c r="C29" i="2"/>
  <c r="Q22" i="2"/>
  <c r="F27" i="5"/>
  <c r="F38" i="5" s="1"/>
  <c r="E76" i="1"/>
  <c r="E87" i="1" s="1"/>
  <c r="B29" i="1"/>
  <c r="N3" i="7"/>
  <c r="K4" i="7"/>
  <c r="E24" i="1"/>
  <c r="H8" i="1"/>
  <c r="K9" i="1"/>
  <c r="L16" i="19"/>
  <c r="J11" i="1"/>
  <c r="H10" i="1"/>
  <c r="H11" i="1" s="1"/>
  <c r="D15" i="19"/>
  <c r="D16" i="19" s="1"/>
  <c r="M14" i="19"/>
  <c r="O14" i="19"/>
  <c r="R12" i="19"/>
  <c r="P12" i="19"/>
  <c r="B37" i="1"/>
  <c r="G37" i="1"/>
  <c r="R3" i="7"/>
  <c r="G6" i="1"/>
  <c r="G8" i="1" s="1"/>
  <c r="M7" i="3"/>
  <c r="E18" i="1" s="1"/>
  <c r="K7" i="3"/>
  <c r="G21" i="1"/>
  <c r="C31" i="1"/>
  <c r="J23" i="10"/>
  <c r="J30" i="1" s="1"/>
  <c r="K23" i="10"/>
  <c r="I23" i="10"/>
  <c r="J29" i="1" s="1"/>
  <c r="S10" i="10"/>
  <c r="S11" i="10" s="1"/>
  <c r="G30" i="1" s="1"/>
  <c r="G31" i="1" s="1"/>
  <c r="P10" i="10"/>
  <c r="P11" i="10" s="1"/>
  <c r="F30" i="1" s="1"/>
  <c r="F31" i="1" s="1"/>
  <c r="D10" i="10"/>
  <c r="D11" i="10" s="1"/>
  <c r="B30" i="1" s="1"/>
  <c r="E14" i="1"/>
  <c r="G20" i="1"/>
  <c r="F20" i="1"/>
  <c r="F21" i="1"/>
  <c r="E31" i="1"/>
  <c r="I6" i="1"/>
  <c r="G17" i="1"/>
  <c r="Q13" i="19"/>
  <c r="Q14" i="19" s="1"/>
  <c r="Q16" i="19" s="1"/>
  <c r="P13" i="19"/>
  <c r="H20" i="1"/>
  <c r="O4" i="7"/>
  <c r="F12" i="1" s="1"/>
  <c r="G7" i="6"/>
  <c r="D19" i="1"/>
  <c r="P3" i="7" l="1"/>
  <c r="P4" i="7" s="1"/>
  <c r="F13" i="1" s="1"/>
  <c r="F14" i="1" s="1"/>
  <c r="B7" i="7"/>
  <c r="E19" i="1"/>
  <c r="S3" i="3"/>
  <c r="E26" i="4"/>
  <c r="F45" i="2"/>
  <c r="C45" i="2"/>
  <c r="T21" i="2"/>
  <c r="F47" i="2"/>
  <c r="C47" i="2"/>
  <c r="E47" i="2" s="1"/>
  <c r="T18" i="2"/>
  <c r="F44" i="2"/>
  <c r="C44" i="2"/>
  <c r="E44" i="2" s="1"/>
  <c r="T25" i="2"/>
  <c r="F51" i="2"/>
  <c r="C51" i="2"/>
  <c r="E51" i="2" s="1"/>
  <c r="F48" i="2"/>
  <c r="C48" i="2"/>
  <c r="E48" i="2" s="1"/>
  <c r="T22" i="2"/>
  <c r="F41" i="2"/>
  <c r="C41" i="2"/>
  <c r="F46" i="2"/>
  <c r="C46" i="2"/>
  <c r="G27" i="5"/>
  <c r="G38" i="5" s="1"/>
  <c r="F76" i="1"/>
  <c r="F87" i="1" s="1"/>
  <c r="B31" i="1"/>
  <c r="N4" i="7"/>
  <c r="L9" i="1"/>
  <c r="E25" i="1"/>
  <c r="G8" i="6"/>
  <c r="I7" i="1" s="1"/>
  <c r="I8" i="1" s="1"/>
  <c r="O16" i="19"/>
  <c r="K10" i="1"/>
  <c r="K11" i="1" s="1"/>
  <c r="M16" i="19"/>
  <c r="I11" i="1"/>
  <c r="P14" i="19"/>
  <c r="L10" i="1" s="1"/>
  <c r="R14" i="19"/>
  <c r="M9" i="1" s="1"/>
  <c r="S12" i="19"/>
  <c r="R4" i="7"/>
  <c r="G12" i="1" s="1"/>
  <c r="C7" i="7"/>
  <c r="S3" i="7"/>
  <c r="S4" i="7" s="1"/>
  <c r="G13" i="1" s="1"/>
  <c r="P7" i="3"/>
  <c r="N7" i="3"/>
  <c r="F22" i="1"/>
  <c r="G22" i="1"/>
  <c r="H31" i="1"/>
  <c r="I31" i="1"/>
  <c r="N23" i="10"/>
  <c r="E34" i="1"/>
  <c r="C14" i="3"/>
  <c r="H17" i="1" s="1"/>
  <c r="J7" i="1"/>
  <c r="S13" i="19"/>
  <c r="I20" i="1"/>
  <c r="E18" i="19" l="1"/>
  <c r="H10" i="3"/>
  <c r="G10" i="3"/>
  <c r="H44" i="2"/>
  <c r="H51" i="2"/>
  <c r="H47" i="2"/>
  <c r="H48" i="2"/>
  <c r="H27" i="5"/>
  <c r="H38" i="5" s="1"/>
  <c r="G76" i="1"/>
  <c r="G87" i="1" s="1"/>
  <c r="L11" i="1"/>
  <c r="D7" i="7"/>
  <c r="Q4" i="7"/>
  <c r="F7" i="7"/>
  <c r="I7" i="7" s="1"/>
  <c r="N9" i="1"/>
  <c r="R16" i="19"/>
  <c r="P16" i="19"/>
  <c r="S14" i="19"/>
  <c r="M10" i="1" s="1"/>
  <c r="G14" i="1"/>
  <c r="S7" i="3"/>
  <c r="Q7" i="3"/>
  <c r="P23" i="10"/>
  <c r="L30" i="1" s="1"/>
  <c r="J31" i="1"/>
  <c r="M23" i="10"/>
  <c r="K30" i="1" s="1"/>
  <c r="I21" i="1"/>
  <c r="I22" i="1" s="1"/>
  <c r="H21" i="1"/>
  <c r="H22" i="1" s="1"/>
  <c r="J6" i="1"/>
  <c r="J8" i="1" s="1"/>
  <c r="K6" i="1"/>
  <c r="F14" i="3"/>
  <c r="I17" i="1" s="1"/>
  <c r="K7" i="1"/>
  <c r="K10" i="3" l="1"/>
  <c r="J10" i="3"/>
  <c r="O30" i="2"/>
  <c r="O29" i="2"/>
  <c r="I27" i="5"/>
  <c r="H76" i="1"/>
  <c r="H87" i="1" s="1"/>
  <c r="E7" i="7"/>
  <c r="G7" i="7" s="1"/>
  <c r="I13" i="1" s="1"/>
  <c r="S16" i="19"/>
  <c r="E19" i="19"/>
  <c r="E20" i="19" s="1"/>
  <c r="O7" i="7"/>
  <c r="O9" i="7" s="1"/>
  <c r="D10" i="3"/>
  <c r="I12" i="1"/>
  <c r="L23" i="10"/>
  <c r="Q23" i="10"/>
  <c r="S23" i="10"/>
  <c r="R23" i="10"/>
  <c r="M29" i="1" s="1"/>
  <c r="F34" i="1"/>
  <c r="H13" i="1"/>
  <c r="K8" i="1"/>
  <c r="I14" i="3"/>
  <c r="J17" i="1" s="1"/>
  <c r="L6" i="1"/>
  <c r="R7" i="6"/>
  <c r="P7" i="6"/>
  <c r="Q7" i="6"/>
  <c r="Q8" i="6" s="1"/>
  <c r="M11" i="1"/>
  <c r="N10" i="1"/>
  <c r="N11" i="1" s="1"/>
  <c r="H12" i="1"/>
  <c r="I76" i="1" l="1"/>
  <c r="I87" i="1" s="1"/>
  <c r="I38" i="5"/>
  <c r="N10" i="3"/>
  <c r="M10" i="3"/>
  <c r="O48" i="2"/>
  <c r="N48" i="2"/>
  <c r="O46" i="2"/>
  <c r="O45" i="2"/>
  <c r="O47" i="2"/>
  <c r="N47" i="2"/>
  <c r="O51" i="2"/>
  <c r="N51" i="2"/>
  <c r="O41" i="2"/>
  <c r="R29" i="2"/>
  <c r="N44" i="2"/>
  <c r="O44" i="2"/>
  <c r="R30" i="2"/>
  <c r="J27" i="5"/>
  <c r="E25" i="10"/>
  <c r="M30" i="1"/>
  <c r="N30" i="1" s="1"/>
  <c r="K29" i="1"/>
  <c r="K31" i="1" s="1"/>
  <c r="P8" i="6"/>
  <c r="L7" i="1" s="1"/>
  <c r="L8" i="1" s="1"/>
  <c r="R8" i="6"/>
  <c r="E11" i="6" s="1"/>
  <c r="R7" i="7"/>
  <c r="R9" i="7" s="1"/>
  <c r="K20" i="1"/>
  <c r="O23" i="10"/>
  <c r="E24" i="10" s="1"/>
  <c r="I14" i="1"/>
  <c r="G34" i="1"/>
  <c r="I37" i="1"/>
  <c r="H37" i="1"/>
  <c r="L14" i="3"/>
  <c r="K17" i="1" s="1"/>
  <c r="R14" i="3"/>
  <c r="M17" i="1" s="1"/>
  <c r="H14" i="1"/>
  <c r="J22" i="1"/>
  <c r="L12" i="1"/>
  <c r="J12" i="1"/>
  <c r="S7" i="6"/>
  <c r="O14" i="3"/>
  <c r="L17" i="1" s="1"/>
  <c r="J76" i="1" l="1"/>
  <c r="J87" i="1" s="1"/>
  <c r="J38" i="5"/>
  <c r="Q10" i="3"/>
  <c r="S10" i="3" s="1"/>
  <c r="P10" i="3"/>
  <c r="R45" i="2"/>
  <c r="R44" i="2"/>
  <c r="T44" i="2" s="1"/>
  <c r="Q44" i="2"/>
  <c r="R41" i="2"/>
  <c r="Q47" i="2"/>
  <c r="R47" i="2"/>
  <c r="T47" i="2" s="1"/>
  <c r="R46" i="2"/>
  <c r="R51" i="2"/>
  <c r="T51" i="2" s="1"/>
  <c r="Q51" i="2"/>
  <c r="R48" i="2"/>
  <c r="T48" i="2" s="1"/>
  <c r="Q48" i="2"/>
  <c r="E26" i="10"/>
  <c r="L29" i="1"/>
  <c r="L31" i="1" s="1"/>
  <c r="J7" i="7"/>
  <c r="J13" i="1" s="1"/>
  <c r="J14" i="1" s="1"/>
  <c r="M7" i="1"/>
  <c r="N7" i="1" s="1"/>
  <c r="S8" i="6"/>
  <c r="M6" i="1"/>
  <c r="N6" i="1" s="1"/>
  <c r="J37" i="1"/>
  <c r="K37" i="1"/>
  <c r="M20" i="1"/>
  <c r="K21" i="1"/>
  <c r="K22" i="1" s="1"/>
  <c r="E12" i="6"/>
  <c r="E13" i="6" s="1"/>
  <c r="N17" i="1"/>
  <c r="E17" i="3"/>
  <c r="M31" i="1"/>
  <c r="M21" i="1"/>
  <c r="K76" i="1" l="1"/>
  <c r="K87" i="1" s="1"/>
  <c r="K38" i="5"/>
  <c r="N29" i="1"/>
  <c r="N31" i="1" s="1"/>
  <c r="L27" i="5"/>
  <c r="N7" i="7"/>
  <c r="N9" i="7" s="1"/>
  <c r="M7" i="7"/>
  <c r="N8" i="1"/>
  <c r="M8" i="1"/>
  <c r="L37" i="1"/>
  <c r="M22" i="1"/>
  <c r="N20" i="1"/>
  <c r="M12" i="1"/>
  <c r="K12" i="1"/>
  <c r="N36" i="1"/>
  <c r="M37" i="1"/>
  <c r="M9" i="7" l="1"/>
  <c r="K13" i="1" s="1"/>
  <c r="K14" i="1" s="1"/>
  <c r="L76" i="1"/>
  <c r="L87" i="1" s="1"/>
  <c r="L38" i="5"/>
  <c r="M27" i="5"/>
  <c r="C43" i="23"/>
  <c r="Q7" i="7"/>
  <c r="Q9" i="7" s="1"/>
  <c r="P7" i="7"/>
  <c r="B34" i="1"/>
  <c r="E12" i="7"/>
  <c r="N12" i="1"/>
  <c r="N35" i="1"/>
  <c r="N37" i="1" s="1"/>
  <c r="L13" i="1" l="1"/>
  <c r="L14" i="1" s="1"/>
  <c r="P9" i="7"/>
  <c r="M76" i="1"/>
  <c r="M38" i="5"/>
  <c r="N27" i="5"/>
  <c r="N38" i="5" s="1"/>
  <c r="B55" i="23"/>
  <c r="C42" i="23"/>
  <c r="S7" i="7"/>
  <c r="S9" i="7" s="1"/>
  <c r="C34" i="1"/>
  <c r="M87" i="1" l="1"/>
  <c r="N76" i="1"/>
  <c r="N87" i="1" s="1"/>
  <c r="M13" i="1"/>
  <c r="E13" i="7"/>
  <c r="E14" i="7" s="1"/>
  <c r="N34" i="1"/>
  <c r="G18" i="1"/>
  <c r="F18" i="1"/>
  <c r="C53" i="23" l="1"/>
  <c r="C55" i="23" s="1"/>
  <c r="F19" i="1"/>
  <c r="C41" i="23"/>
  <c r="N13" i="1"/>
  <c r="N14" i="1" s="1"/>
  <c r="M14" i="1"/>
  <c r="G19" i="1"/>
  <c r="D14" i="3" l="1"/>
  <c r="H18" i="1" s="1"/>
  <c r="B14" i="3"/>
  <c r="H19" i="1" l="1"/>
  <c r="E14" i="3"/>
  <c r="G14" i="3"/>
  <c r="I18" i="1" s="1"/>
  <c r="J14" i="3" l="1"/>
  <c r="J18" i="1" s="1"/>
  <c r="H14" i="3"/>
  <c r="I19" i="1"/>
  <c r="J19" i="1" l="1"/>
  <c r="K14" i="3"/>
  <c r="M14" i="3"/>
  <c r="K18" i="1" s="1"/>
  <c r="K19" i="1" l="1"/>
  <c r="N14" i="3"/>
  <c r="P14" i="3"/>
  <c r="L18" i="1" s="1"/>
  <c r="S14" i="3" l="1"/>
  <c r="Q14" i="3"/>
  <c r="L19" i="1"/>
  <c r="M18" i="1" l="1"/>
  <c r="E18" i="3"/>
  <c r="E19" i="3" s="1"/>
  <c r="M19" i="1" l="1"/>
  <c r="N18" i="1"/>
  <c r="C37" i="23" l="1"/>
  <c r="N19" i="1"/>
  <c r="F9" i="2"/>
  <c r="I9" i="2" s="1"/>
  <c r="E9" i="2"/>
  <c r="K9" i="2" l="1"/>
  <c r="L9" i="2"/>
  <c r="H9" i="2"/>
  <c r="N9" i="2" l="1"/>
  <c r="O9" i="2"/>
  <c r="R9" i="2" s="1"/>
  <c r="G13" i="2"/>
  <c r="P13" i="2" l="1"/>
  <c r="S13" i="2" s="1"/>
  <c r="G39" i="2" s="1"/>
  <c r="J39" i="2" s="1"/>
  <c r="M39" i="2" s="1"/>
  <c r="P39" i="2" s="1"/>
  <c r="S39" i="2" s="1"/>
  <c r="D39" i="2"/>
  <c r="Q9" i="2"/>
  <c r="F13" i="2"/>
  <c r="H13" i="2" s="1"/>
  <c r="C26" i="2"/>
  <c r="E13" i="2"/>
  <c r="T9" i="2" l="1"/>
  <c r="F35" i="2"/>
  <c r="C35" i="2"/>
  <c r="E35" i="2" s="1"/>
  <c r="F26" i="2"/>
  <c r="H35" i="2" l="1"/>
  <c r="O13" i="2"/>
  <c r="N13" i="2"/>
  <c r="E15" i="2"/>
  <c r="G15" i="2"/>
  <c r="J15" i="2" s="1"/>
  <c r="Q13" i="2" l="1"/>
  <c r="M15" i="2"/>
  <c r="K15" i="2"/>
  <c r="E5" i="2"/>
  <c r="G20" i="2"/>
  <c r="J20" i="2" s="1"/>
  <c r="E20" i="2"/>
  <c r="E10" i="2"/>
  <c r="H15" i="2"/>
  <c r="E23" i="2"/>
  <c r="M20" i="2" l="1"/>
  <c r="K20" i="2"/>
  <c r="P15" i="2"/>
  <c r="N15" i="2"/>
  <c r="O35" i="2"/>
  <c r="N35" i="2"/>
  <c r="T13" i="2"/>
  <c r="C39" i="2"/>
  <c r="E39" i="2" s="1"/>
  <c r="H23" i="2"/>
  <c r="H10" i="2"/>
  <c r="H5" i="2"/>
  <c r="E12" i="2"/>
  <c r="G12" i="2"/>
  <c r="J12" i="2" s="1"/>
  <c r="G19" i="2"/>
  <c r="J19" i="2" s="1"/>
  <c r="E19" i="2"/>
  <c r="G4" i="2"/>
  <c r="J4" i="2" s="1"/>
  <c r="E4" i="2"/>
  <c r="E3" i="2"/>
  <c r="G3" i="2"/>
  <c r="J3" i="2" s="1"/>
  <c r="M3" i="2" s="1"/>
  <c r="E17" i="2"/>
  <c r="H20" i="2"/>
  <c r="M12" i="2" l="1"/>
  <c r="K12" i="2"/>
  <c r="P3" i="2"/>
  <c r="N3" i="2"/>
  <c r="H39" i="2"/>
  <c r="M19" i="2"/>
  <c r="K19" i="2"/>
  <c r="S15" i="2"/>
  <c r="Q15" i="2"/>
  <c r="K4" i="2"/>
  <c r="M4" i="2"/>
  <c r="R35" i="2"/>
  <c r="T35" i="2" s="1"/>
  <c r="Q35" i="2"/>
  <c r="P20" i="2"/>
  <c r="N20" i="2"/>
  <c r="K3" i="2"/>
  <c r="H17" i="2"/>
  <c r="H3" i="2"/>
  <c r="H19" i="2"/>
  <c r="H12" i="2"/>
  <c r="H4" i="2"/>
  <c r="H24" i="2"/>
  <c r="P4" i="2" l="1"/>
  <c r="N4" i="2"/>
  <c r="S20" i="2"/>
  <c r="Q20" i="2"/>
  <c r="P19" i="2"/>
  <c r="N19" i="2"/>
  <c r="S3" i="2"/>
  <c r="D29" i="2" s="1"/>
  <c r="Q3" i="2"/>
  <c r="D41" i="2"/>
  <c r="E41" i="2" s="1"/>
  <c r="G41" i="2"/>
  <c r="T15" i="2"/>
  <c r="N12" i="2"/>
  <c r="J41" i="2" l="1"/>
  <c r="H41" i="2"/>
  <c r="G29" i="2"/>
  <c r="T3" i="2"/>
  <c r="D46" i="2"/>
  <c r="E46" i="2" s="1"/>
  <c r="G46" i="2"/>
  <c r="T20" i="2"/>
  <c r="Q12" i="2"/>
  <c r="O39" i="2"/>
  <c r="N39" i="2"/>
  <c r="S19" i="2"/>
  <c r="Q19" i="2"/>
  <c r="S4" i="2"/>
  <c r="Q4" i="2"/>
  <c r="E29" i="2"/>
  <c r="Q39" i="2" l="1"/>
  <c r="R39" i="2"/>
  <c r="T39" i="2" s="1"/>
  <c r="D45" i="2"/>
  <c r="E45" i="2" s="1"/>
  <c r="G45" i="2"/>
  <c r="T19" i="2"/>
  <c r="D38" i="2"/>
  <c r="E38" i="2" s="1"/>
  <c r="G38" i="2"/>
  <c r="T12" i="2"/>
  <c r="J29" i="2"/>
  <c r="H29" i="2"/>
  <c r="G30" i="2"/>
  <c r="D30" i="2"/>
  <c r="E30" i="2" s="1"/>
  <c r="T4" i="2"/>
  <c r="J46" i="2"/>
  <c r="H46" i="2"/>
  <c r="M41" i="2"/>
  <c r="D26" i="2"/>
  <c r="E7" i="2"/>
  <c r="E26" i="2" s="1"/>
  <c r="G7" i="2"/>
  <c r="J7" i="2" s="1"/>
  <c r="M46" i="2" l="1"/>
  <c r="K7" i="2"/>
  <c r="M7" i="2"/>
  <c r="P41" i="2"/>
  <c r="N41" i="2"/>
  <c r="J45" i="2"/>
  <c r="H45" i="2"/>
  <c r="J30" i="2"/>
  <c r="H30" i="2"/>
  <c r="J38" i="2"/>
  <c r="H38" i="2"/>
  <c r="M29" i="2"/>
  <c r="B3" i="1"/>
  <c r="H7" i="2"/>
  <c r="H26" i="2" s="1"/>
  <c r="G26" i="2"/>
  <c r="B4" i="1"/>
  <c r="P7" i="2" l="1"/>
  <c r="P26" i="2" s="1"/>
  <c r="N7" i="2"/>
  <c r="M38" i="2"/>
  <c r="M45" i="2"/>
  <c r="P29" i="2"/>
  <c r="N29" i="2"/>
  <c r="M30" i="2"/>
  <c r="S41" i="2"/>
  <c r="T41" i="2" s="1"/>
  <c r="Q41" i="2"/>
  <c r="P46" i="2"/>
  <c r="N46" i="2"/>
  <c r="B5" i="1"/>
  <c r="B16" i="1" s="1"/>
  <c r="C3" i="1"/>
  <c r="J26" i="2"/>
  <c r="C4" i="1"/>
  <c r="S29" i="2" l="1"/>
  <c r="T29" i="2" s="1"/>
  <c r="Q29" i="2"/>
  <c r="P38" i="2"/>
  <c r="N38" i="2"/>
  <c r="S46" i="2"/>
  <c r="T46" i="2" s="1"/>
  <c r="Q46" i="2"/>
  <c r="P30" i="2"/>
  <c r="N30" i="2"/>
  <c r="P45" i="2"/>
  <c r="N45" i="2"/>
  <c r="S7" i="2"/>
  <c r="Q7" i="2"/>
  <c r="C5" i="1"/>
  <c r="C16" i="1" s="1"/>
  <c r="D3" i="1"/>
  <c r="M26" i="2"/>
  <c r="D33" i="2" l="1"/>
  <c r="E33" i="2" s="1"/>
  <c r="G33" i="2"/>
  <c r="T7" i="2"/>
  <c r="S30" i="2"/>
  <c r="T30" i="2" s="1"/>
  <c r="Q30" i="2"/>
  <c r="S38" i="2"/>
  <c r="T38" i="2" s="1"/>
  <c r="Q38" i="2"/>
  <c r="S45" i="2"/>
  <c r="T45" i="2" s="1"/>
  <c r="Q45" i="2"/>
  <c r="S26" i="2"/>
  <c r="E3" i="1"/>
  <c r="J33" i="2" l="1"/>
  <c r="H33" i="2"/>
  <c r="G3" i="1"/>
  <c r="D52" i="2"/>
  <c r="F3" i="1"/>
  <c r="M33" i="2" l="1"/>
  <c r="G52" i="2"/>
  <c r="H3" i="1"/>
  <c r="P33" i="2" l="1"/>
  <c r="N33" i="2"/>
  <c r="J52" i="2"/>
  <c r="J3" i="1" s="1"/>
  <c r="I3" i="1"/>
  <c r="S33" i="2" l="1"/>
  <c r="T33" i="2" s="1"/>
  <c r="Q33" i="2"/>
  <c r="M52" i="2"/>
  <c r="K3" i="1" l="1"/>
  <c r="P52" i="2"/>
  <c r="L3" i="1" l="1"/>
  <c r="S52" i="2"/>
  <c r="F53" i="2" s="1"/>
  <c r="M3" i="1" l="1"/>
  <c r="N3" i="1" l="1"/>
  <c r="L21" i="1" l="1"/>
  <c r="E27" i="4"/>
  <c r="L22" i="1" l="1"/>
  <c r="N21" i="1"/>
  <c r="N22" i="1" l="1"/>
  <c r="C38" i="23" s="1"/>
  <c r="L24" i="1" l="1"/>
  <c r="K24" i="1"/>
  <c r="K23" i="1"/>
  <c r="H24" i="1"/>
  <c r="J23" i="1"/>
  <c r="M23" i="1"/>
  <c r="H23" i="1"/>
  <c r="I24" i="1"/>
  <c r="M24" i="1"/>
  <c r="J24" i="1"/>
  <c r="I23" i="1"/>
  <c r="K25" i="1" l="1"/>
  <c r="I25" i="1"/>
  <c r="L23" i="1"/>
  <c r="M25" i="1"/>
  <c r="N24" i="1"/>
  <c r="J25" i="1"/>
  <c r="H25" i="1"/>
  <c r="L25" i="1" l="1"/>
  <c r="N23" i="1"/>
  <c r="N25" i="1" l="1"/>
  <c r="C39" i="23" s="1"/>
  <c r="B45" i="23" l="1"/>
  <c r="B56" i="23" s="1"/>
  <c r="B57" i="23" s="1"/>
  <c r="I26" i="2" l="1"/>
  <c r="K26" i="2"/>
  <c r="N26" i="2" l="1"/>
  <c r="D4" i="1"/>
  <c r="L26" i="2"/>
  <c r="E4" i="1" l="1"/>
  <c r="D5" i="1"/>
  <c r="D16" i="1" s="1"/>
  <c r="Q26" i="2"/>
  <c r="O26" i="2"/>
  <c r="R26" i="2" l="1"/>
  <c r="T26" i="2"/>
  <c r="F4" i="1"/>
  <c r="E5" i="1"/>
  <c r="E16" i="1" s="1"/>
  <c r="F52" i="2" l="1"/>
  <c r="H52" i="2"/>
  <c r="E52" i="2"/>
  <c r="C52" i="2"/>
  <c r="F5" i="1"/>
  <c r="F16" i="1" s="1"/>
  <c r="G4" i="1"/>
  <c r="H4" i="1" l="1"/>
  <c r="I4" i="1"/>
  <c r="G5" i="1"/>
  <c r="G16" i="1" s="1"/>
  <c r="I52" i="2"/>
  <c r="K52" i="2"/>
  <c r="J4" i="1" l="1"/>
  <c r="I5" i="1"/>
  <c r="I16" i="1" s="1"/>
  <c r="L52" i="2"/>
  <c r="N52" i="2"/>
  <c r="H5" i="1"/>
  <c r="H16" i="1" s="1"/>
  <c r="O52" i="2" l="1"/>
  <c r="Q52" i="2"/>
  <c r="K4" i="1"/>
  <c r="J5" i="1"/>
  <c r="J16" i="1" s="1"/>
  <c r="L4" i="1" l="1"/>
  <c r="T52" i="2"/>
  <c r="R52" i="2"/>
  <c r="K5" i="1"/>
  <c r="K16" i="1" s="1"/>
  <c r="M4" i="1" l="1"/>
  <c r="F54" i="2"/>
  <c r="F55" i="2" s="1"/>
  <c r="L5" i="1"/>
  <c r="L16" i="1" s="1"/>
  <c r="M5" i="1" l="1"/>
  <c r="M16" i="1" s="1"/>
  <c r="N4" i="1"/>
  <c r="C36" i="23" s="1"/>
  <c r="N5" i="1" l="1"/>
  <c r="N16" i="1" s="1"/>
  <c r="B21" i="21"/>
  <c r="B11" i="4" s="1"/>
  <c r="B12" i="4" s="1"/>
  <c r="F27" i="1"/>
  <c r="F41" i="1" s="1"/>
  <c r="O21" i="21"/>
  <c r="O11" i="4" s="1"/>
  <c r="O12" i="4" s="1"/>
  <c r="D27" i="1"/>
  <c r="D41" i="1" s="1"/>
  <c r="C27" i="1"/>
  <c r="C41" i="1" s="1"/>
  <c r="G27" i="1"/>
  <c r="G41" i="1" s="1"/>
  <c r="L21" i="21"/>
  <c r="L11" i="4" s="1"/>
  <c r="L12" i="4" s="1"/>
  <c r="C21" i="21"/>
  <c r="C11" i="4" s="1"/>
  <c r="C12" i="4" s="1"/>
  <c r="D21" i="21"/>
  <c r="D11" i="4" s="1"/>
  <c r="D12" i="4" s="1"/>
  <c r="D26" i="1"/>
  <c r="D40" i="1" s="1"/>
  <c r="E27" i="1"/>
  <c r="E41" i="1" s="1"/>
  <c r="E21" i="21"/>
  <c r="E11" i="4" s="1"/>
  <c r="E12" i="4" s="1"/>
  <c r="G21" i="21"/>
  <c r="G11" i="4" s="1"/>
  <c r="G12" i="4" s="1"/>
  <c r="F21" i="21"/>
  <c r="F11" i="4" s="1"/>
  <c r="F12" i="4" s="1"/>
  <c r="N21" i="21"/>
  <c r="N11" i="4" s="1"/>
  <c r="N12" i="4" s="1"/>
  <c r="H21" i="21"/>
  <c r="H11" i="4" s="1"/>
  <c r="H12" i="4" s="1"/>
  <c r="R21" i="21"/>
  <c r="R11" i="4" s="1"/>
  <c r="R12" i="4" s="1"/>
  <c r="E26" i="1"/>
  <c r="E40" i="1" s="1"/>
  <c r="Q11" i="4"/>
  <c r="Q12" i="4" s="1"/>
  <c r="I21" i="21"/>
  <c r="I11" i="4" s="1"/>
  <c r="I12" i="4" s="1"/>
  <c r="M21" i="21"/>
  <c r="M11" i="4" s="1"/>
  <c r="M12" i="4" s="1"/>
  <c r="P21" i="21"/>
  <c r="P11" i="4" s="1"/>
  <c r="P12" i="4" s="1"/>
  <c r="S21" i="21"/>
  <c r="S11" i="4" s="1"/>
  <c r="S12" i="4" s="1"/>
  <c r="B27" i="1"/>
  <c r="B41" i="1" s="1"/>
  <c r="J21" i="21"/>
  <c r="J11" i="4" s="1"/>
  <c r="J12" i="4" s="1"/>
  <c r="B26" i="1"/>
  <c r="B40" i="1" s="1"/>
  <c r="C26" i="1"/>
  <c r="C40" i="1" s="1"/>
  <c r="G26" i="1"/>
  <c r="G40" i="1" s="1"/>
  <c r="K21" i="21"/>
  <c r="K11" i="4" s="1"/>
  <c r="K12" i="4" s="1"/>
  <c r="F26" i="1"/>
  <c r="F40" i="1" s="1"/>
  <c r="G28" i="1" l="1"/>
  <c r="F28" i="1"/>
  <c r="G42" i="1"/>
  <c r="D28" i="1"/>
  <c r="C28" i="1"/>
  <c r="C42" i="1"/>
  <c r="C88" i="1" s="1"/>
  <c r="C116" i="1" s="1"/>
  <c r="F42" i="1"/>
  <c r="F88" i="1" s="1"/>
  <c r="F116" i="1" s="1"/>
  <c r="E42" i="1"/>
  <c r="E88" i="1" s="1"/>
  <c r="E116" i="1" s="1"/>
  <c r="D42" i="1"/>
  <c r="D88" i="1" s="1"/>
  <c r="D116" i="1" s="1"/>
  <c r="B28" i="1"/>
  <c r="E28" i="1"/>
  <c r="B42" i="1"/>
  <c r="B88" i="1" s="1"/>
  <c r="B116" i="1" l="1"/>
  <c r="G88" i="1"/>
  <c r="G116" i="1" s="1"/>
  <c r="B23" i="4"/>
  <c r="B24" i="4" s="1"/>
  <c r="K27" i="1"/>
  <c r="K41" i="1" s="1"/>
  <c r="M27" i="1"/>
  <c r="M41" i="1" s="1"/>
  <c r="O23" i="4"/>
  <c r="O24" i="4" s="1"/>
  <c r="K23" i="4"/>
  <c r="K24" i="4" s="1"/>
  <c r="L23" i="4"/>
  <c r="L24" i="4" s="1"/>
  <c r="I23" i="4"/>
  <c r="I24" i="4" s="1"/>
  <c r="F23" i="4"/>
  <c r="F24" i="4" s="1"/>
  <c r="N23" i="4"/>
  <c r="N24" i="4" s="1"/>
  <c r="H27" i="1"/>
  <c r="H41" i="1" s="1"/>
  <c r="E23" i="4"/>
  <c r="E24" i="4" s="1"/>
  <c r="J27" i="1"/>
  <c r="J41" i="1" s="1"/>
  <c r="I26" i="1"/>
  <c r="H26" i="1"/>
  <c r="L27" i="1"/>
  <c r="L41" i="1" s="1"/>
  <c r="M26" i="1"/>
  <c r="Q23" i="4"/>
  <c r="Q24" i="4" s="1"/>
  <c r="G23" i="4"/>
  <c r="G24" i="4" s="1"/>
  <c r="H23" i="4"/>
  <c r="H24" i="4" s="1"/>
  <c r="M23" i="4"/>
  <c r="M24" i="4" s="1"/>
  <c r="J26" i="1"/>
  <c r="K26" i="1"/>
  <c r="P23" i="4"/>
  <c r="P24" i="4" s="1"/>
  <c r="J23" i="4"/>
  <c r="J24" i="4" s="1"/>
  <c r="L26" i="1"/>
  <c r="L40" i="1" s="1"/>
  <c r="I27" i="1"/>
  <c r="I41" i="1" s="1"/>
  <c r="R23" i="4"/>
  <c r="R24" i="4" s="1"/>
  <c r="S23" i="4"/>
  <c r="S24" i="4" s="1"/>
  <c r="L42" i="1" l="1"/>
  <c r="L88" i="1" s="1"/>
  <c r="L116" i="1" s="1"/>
  <c r="I40" i="1"/>
  <c r="I42" i="1" s="1"/>
  <c r="I88" i="1" s="1"/>
  <c r="I116" i="1" s="1"/>
  <c r="M40" i="1"/>
  <c r="M42" i="1" s="1"/>
  <c r="M88" i="1" s="1"/>
  <c r="M116" i="1" s="1"/>
  <c r="J40" i="1"/>
  <c r="J42" i="1" s="1"/>
  <c r="J88" i="1" s="1"/>
  <c r="J116" i="1" s="1"/>
  <c r="K40" i="1"/>
  <c r="K42" i="1" s="1"/>
  <c r="K88" i="1" s="1"/>
  <c r="K116" i="1" s="1"/>
  <c r="H40" i="1"/>
  <c r="H42" i="1" s="1"/>
  <c r="H88" i="1" s="1"/>
  <c r="H116" i="1" s="1"/>
  <c r="N27" i="1"/>
  <c r="N41" i="1" s="1"/>
  <c r="M28" i="1"/>
  <c r="I28" i="1"/>
  <c r="H28" i="1"/>
  <c r="J28" i="1"/>
  <c r="E44" i="21"/>
  <c r="E43" i="21"/>
  <c r="D23" i="4"/>
  <c r="D24" i="4" s="1"/>
  <c r="L28" i="1"/>
  <c r="K28" i="1"/>
  <c r="N26" i="1"/>
  <c r="N40" i="1" s="1"/>
  <c r="C23" i="4"/>
  <c r="C24" i="4" s="1"/>
  <c r="E45" i="21" l="1"/>
  <c r="N88" i="1"/>
  <c r="N116" i="1" s="1"/>
  <c r="N28" i="1"/>
  <c r="C40" i="23"/>
  <c r="C45" i="23" s="1"/>
  <c r="N42" i="1"/>
  <c r="C56" i="23" l="1"/>
  <c r="C57" i="23" s="1"/>
</calcChain>
</file>

<file path=xl/comments1.xml><?xml version="1.0" encoding="utf-8"?>
<comments xmlns="http://schemas.openxmlformats.org/spreadsheetml/2006/main">
  <authors>
    <author>Lani Woods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>Lani Woods:</t>
        </r>
        <r>
          <rPr>
            <sz val="8"/>
            <color indexed="81"/>
            <rFont val="Tahoma"/>
            <family val="2"/>
          </rPr>
          <t xml:space="preserve">
See 617801
</t>
        </r>
      </text>
    </comment>
    <comment ref="C16" authorId="0" shapeId="0">
      <text>
        <r>
          <rPr>
            <b/>
            <sz val="8"/>
            <color indexed="81"/>
            <rFont val="Tahoma"/>
            <family val="2"/>
          </rPr>
          <t>Lani Woods:</t>
        </r>
        <r>
          <rPr>
            <sz val="8"/>
            <color indexed="81"/>
            <rFont val="Tahoma"/>
            <family val="2"/>
          </rPr>
          <t xml:space="preserve">
white board in 20-126
</t>
        </r>
      </text>
    </comment>
    <comment ref="I28" authorId="0" shapeId="0">
      <text>
        <r>
          <rPr>
            <b/>
            <sz val="8"/>
            <color indexed="81"/>
            <rFont val="Tahoma"/>
            <family val="2"/>
          </rPr>
          <t>Lani Woods:</t>
        </r>
        <r>
          <rPr>
            <sz val="8"/>
            <color indexed="81"/>
            <rFont val="Tahoma"/>
            <family val="2"/>
          </rPr>
          <t xml:space="preserve">
TA (Bravo) salary
</t>
        </r>
      </text>
    </comment>
  </commentList>
</comments>
</file>

<file path=xl/sharedStrings.xml><?xml version="1.0" encoding="utf-8"?>
<sst xmlns="http://schemas.openxmlformats.org/spreadsheetml/2006/main" count="1414" uniqueCount="394">
  <si>
    <t>Faculty Salaries</t>
  </si>
  <si>
    <t>Faculty Benefits</t>
  </si>
  <si>
    <t>Staff Salaries</t>
  </si>
  <si>
    <t>Equity/Market Increases</t>
  </si>
  <si>
    <t>Stipend/Bonus Allowance</t>
  </si>
  <si>
    <t>Jan</t>
  </si>
  <si>
    <t>July</t>
  </si>
  <si>
    <t>Aug</t>
  </si>
  <si>
    <t>Sept</t>
  </si>
  <si>
    <t>Oct</t>
  </si>
  <si>
    <t>Nov</t>
  </si>
  <si>
    <t>Dec</t>
  </si>
  <si>
    <t>Feb</t>
  </si>
  <si>
    <t>Mar</t>
  </si>
  <si>
    <t>Apr</t>
  </si>
  <si>
    <t>May</t>
  </si>
  <si>
    <t>Jun</t>
  </si>
  <si>
    <t>Release Time -Salary Reimb</t>
  </si>
  <si>
    <t>Release Time- Benefit Reimb</t>
  </si>
  <si>
    <t>Travel In State</t>
  </si>
  <si>
    <t>Travel Out of State</t>
  </si>
  <si>
    <t>Contractural Services</t>
  </si>
  <si>
    <t>It Hardware</t>
  </si>
  <si>
    <t>It Software</t>
  </si>
  <si>
    <t xml:space="preserve">Equipment </t>
  </si>
  <si>
    <t>Lab Upgrades</t>
  </si>
  <si>
    <t>Office Supplies</t>
  </si>
  <si>
    <t>Postage and Freight</t>
  </si>
  <si>
    <t>Assigned Time (University Level)</t>
  </si>
  <si>
    <t>Assigned Time (College Level)</t>
  </si>
  <si>
    <t>Staff Benefits</t>
  </si>
  <si>
    <t>Salary</t>
  </si>
  <si>
    <t>Benefits</t>
  </si>
  <si>
    <t xml:space="preserve">Total </t>
  </si>
  <si>
    <t>Total</t>
  </si>
  <si>
    <t>Subtotal of Staff Salaries</t>
  </si>
  <si>
    <t>Subtotal of Staff Benefits</t>
  </si>
  <si>
    <t>Total Staff Salaries + Benefits</t>
  </si>
  <si>
    <t>Total Lecturer Salaries + Benefits</t>
  </si>
  <si>
    <t>T/TT</t>
  </si>
  <si>
    <t>Subtotal of Faculty Salaries</t>
  </si>
  <si>
    <t>Subtotal of Faculty Benefits</t>
  </si>
  <si>
    <t>Total Faculty Salaries + Benefits</t>
  </si>
  <si>
    <t>TOTAL</t>
  </si>
  <si>
    <t>Maintenance Agreements/Services</t>
  </si>
  <si>
    <t>Parking Fees</t>
  </si>
  <si>
    <t>Operating Expenditures</t>
  </si>
  <si>
    <t xml:space="preserve"> </t>
  </si>
  <si>
    <t>Supplies and Service</t>
  </si>
  <si>
    <t>Agbo</t>
  </si>
  <si>
    <t>Ahlgren</t>
  </si>
  <si>
    <t>Arakaki</t>
  </si>
  <si>
    <t>Braun</t>
  </si>
  <si>
    <t>Derickson</t>
  </si>
  <si>
    <t>Dolan</t>
  </si>
  <si>
    <t>Jin</t>
  </si>
  <si>
    <t>MacCarley</t>
  </si>
  <si>
    <t>Nafisi</t>
  </si>
  <si>
    <t>Oliver</t>
  </si>
  <si>
    <t>Prodanov</t>
  </si>
  <si>
    <t>Shaban</t>
  </si>
  <si>
    <t>Slivovsky</t>
  </si>
  <si>
    <t>Smilkstein</t>
  </si>
  <si>
    <t>Taufik</t>
  </si>
  <si>
    <t>Zhang</t>
  </si>
  <si>
    <t>WITHOUT SALARY CUTS</t>
  </si>
  <si>
    <t>Subtotal of MgmtSuper Salaries</t>
  </si>
  <si>
    <t>Subtotal of MgmtSuper Benefits</t>
  </si>
  <si>
    <t>Subtotal of Department Chair Salaries</t>
  </si>
  <si>
    <t>Subtotal of Department Chair Benefits</t>
  </si>
  <si>
    <t>Total Department Chair Salaries + Benefits</t>
  </si>
  <si>
    <t>Subtotal of SA-Tech Benefits</t>
  </si>
  <si>
    <t>Subtotal of SA-Admin Salaries</t>
  </si>
  <si>
    <t>Subtotal of SA-Admin Benefits</t>
  </si>
  <si>
    <t>Sub-total Salaries</t>
  </si>
  <si>
    <t>Sub-total Benefits</t>
  </si>
  <si>
    <t>Full</t>
  </si>
  <si>
    <t>Assoc</t>
  </si>
  <si>
    <t>Assist</t>
  </si>
  <si>
    <t>Assit</t>
  </si>
  <si>
    <t>Mealy</t>
  </si>
  <si>
    <t xml:space="preserve"> Staff Salaries </t>
  </si>
  <si>
    <t>Encumbrances</t>
  </si>
  <si>
    <t>January 11</t>
  </si>
  <si>
    <t>February 11</t>
  </si>
  <si>
    <t>March 11</t>
  </si>
  <si>
    <t>April 11</t>
  </si>
  <si>
    <t>May 11</t>
  </si>
  <si>
    <t>June 11</t>
  </si>
  <si>
    <t>CAT III Misc Course Fees</t>
  </si>
  <si>
    <t>Student Assistants</t>
  </si>
  <si>
    <t>Telephone Lines and features</t>
  </si>
  <si>
    <t>Telephone Install &amp; Equipment</t>
  </si>
  <si>
    <t>Telephone Usage</t>
  </si>
  <si>
    <t>Recruitment-In State</t>
  </si>
  <si>
    <t>Petty Cash Reimbursements</t>
  </si>
  <si>
    <t>Total Personnel Costs</t>
  </si>
  <si>
    <t>Total Assigned/Release Time</t>
  </si>
  <si>
    <t>Department Chair Salary</t>
  </si>
  <si>
    <t>Department Chair Benefits</t>
  </si>
  <si>
    <t>TA's and GA's</t>
  </si>
  <si>
    <t>ISA's</t>
  </si>
  <si>
    <t>Operating Expenses</t>
  </si>
  <si>
    <t>ITS Maintenance</t>
  </si>
  <si>
    <t>Total Faculty Salaries</t>
  </si>
  <si>
    <t>Total Staff Salaries</t>
  </si>
  <si>
    <t>Subtotal of Entitled Lecturer Salaries</t>
  </si>
  <si>
    <t>Subtotal of Entitled Lecturer Benefits</t>
  </si>
  <si>
    <t>Subtotal of Non-entitled Lecturer Salaries</t>
  </si>
  <si>
    <t>Subtotal of Non-entitled Lecturer Benefits</t>
  </si>
  <si>
    <t>Total Non-Entitled Lecturer Salaries + Benefits</t>
  </si>
  <si>
    <t>Total Entitled Lecturer Salaries + Benefits</t>
  </si>
  <si>
    <t>Non-entitled Lecturer Salaries</t>
  </si>
  <si>
    <t>Non-entitled Lecturer Benefits</t>
  </si>
  <si>
    <t xml:space="preserve">Total Non-Entitled Lecturer </t>
  </si>
  <si>
    <t>Svcs from other Agencies</t>
  </si>
  <si>
    <t>Lab Expense - Consumable</t>
  </si>
  <si>
    <t>Lab Expense - Replace/Repair</t>
  </si>
  <si>
    <t>Lottery Expenses</t>
  </si>
  <si>
    <t>84000-budget rollover</t>
  </si>
  <si>
    <t>84000-1011 budget</t>
  </si>
  <si>
    <t>Insurance</t>
  </si>
  <si>
    <t>Subtotal of Dip/Sabbatical Salaries</t>
  </si>
  <si>
    <t>MgmtSupr Salaries</t>
  </si>
  <si>
    <t>MgmtSupr Benefits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</si>
  <si>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</si>
  <si>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</si>
  <si>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</si>
  <si>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</si>
  <si>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</si>
  <si>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</si>
  <si>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</si>
  <si>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</si>
  <si>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</si>
  <si>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</si>
  <si>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total</t>
  </si>
  <si>
    <t>Feburay</t>
  </si>
  <si>
    <t>Benson*</t>
  </si>
  <si>
    <t>Total Budget</t>
  </si>
  <si>
    <t>Total Expenses</t>
  </si>
  <si>
    <t>Balance</t>
  </si>
  <si>
    <t>Faculty Total</t>
  </si>
  <si>
    <t>MgmtSupr Total</t>
  </si>
  <si>
    <t>Department Chair Total</t>
  </si>
  <si>
    <t>Alarm</t>
  </si>
  <si>
    <t>Alarm Services</t>
  </si>
  <si>
    <t>Lockers</t>
  </si>
  <si>
    <t>Student Assistants Salaries</t>
  </si>
  <si>
    <t>Student Assistants Benefits</t>
  </si>
  <si>
    <t xml:space="preserve">Total Student Assistants </t>
  </si>
  <si>
    <t>Total State Operating Costs</t>
  </si>
  <si>
    <t>State Operating Expenses</t>
  </si>
  <si>
    <t>Fund Fdescr</t>
  </si>
  <si>
    <t>Deptid Fdescr</t>
  </si>
  <si>
    <t>Account Fdescr</t>
  </si>
  <si>
    <t>SL001</t>
  </si>
  <si>
    <t>Budget Allocations</t>
  </si>
  <si>
    <t>Base Budget</t>
  </si>
  <si>
    <t>Item</t>
  </si>
  <si>
    <t>Salaries and Benefits</t>
  </si>
  <si>
    <t>Tenure/Tenure Track Faculty</t>
  </si>
  <si>
    <t>Staff</t>
  </si>
  <si>
    <t>Lecturers, Non-Entitled</t>
  </si>
  <si>
    <t>Teaching/Graduate Assistants</t>
  </si>
  <si>
    <t>Instructional Student Assistants</t>
  </si>
  <si>
    <t>Total Operating and Lottery expenses</t>
  </si>
  <si>
    <t>601100-Academic Salaries</t>
  </si>
  <si>
    <t>603001-OASDI</t>
  </si>
  <si>
    <t>603003-Dental Insurance</t>
  </si>
  <si>
    <t>603004-Health and Welfare</t>
  </si>
  <si>
    <t>603005-Retirement</t>
  </si>
  <si>
    <t>603012-Medicare</t>
  </si>
  <si>
    <t>603013-Vision Care</t>
  </si>
  <si>
    <t>Total Department Cost w/oLottery</t>
  </si>
  <si>
    <t>ISA's Benefits</t>
  </si>
  <si>
    <t>TA's and GA's Benefits</t>
  </si>
  <si>
    <t>Pilkington</t>
  </si>
  <si>
    <t>Yu</t>
  </si>
  <si>
    <t>Saghri</t>
  </si>
  <si>
    <t>Roll Forward Surplus/Deficit</t>
  </si>
  <si>
    <t>Operating Expense Lottery</t>
  </si>
  <si>
    <t>Total Expenditures</t>
  </si>
  <si>
    <t>Benefit Increase</t>
  </si>
  <si>
    <t>Subtotal of CENG Allocation</t>
  </si>
  <si>
    <t>Special Consultant</t>
  </si>
  <si>
    <t>Subtotal: Base</t>
  </si>
  <si>
    <t xml:space="preserve">Lottery </t>
  </si>
  <si>
    <t>One-time College Level:</t>
  </si>
  <si>
    <t>Subtotal: One-time College Level</t>
  </si>
  <si>
    <t>One-time Specific:</t>
  </si>
  <si>
    <t>SSF Department and Course Specific</t>
  </si>
  <si>
    <t>Subtotal: One-time Specific</t>
  </si>
  <si>
    <t>Other Sources</t>
  </si>
  <si>
    <t>Lottery Roll Forwaard from Prior FY</t>
  </si>
  <si>
    <t>Telephone Cellular</t>
  </si>
  <si>
    <t>Subtotal:  Annual Funding</t>
  </si>
  <si>
    <t xml:space="preserve"> Subtotal Salaries &amp; Benefits</t>
  </si>
  <si>
    <t>Interfund Svc assessment (Summer School)</t>
  </si>
  <si>
    <t>84000-Budget</t>
  </si>
  <si>
    <t>601303-ISA</t>
  </si>
  <si>
    <t>601303 - Student Assistant</t>
  </si>
  <si>
    <t>601100-Academic Salaries-Faculty</t>
  </si>
  <si>
    <t>603003-Dental</t>
  </si>
  <si>
    <t>603004-Health</t>
  </si>
  <si>
    <t>603014-Long Term</t>
  </si>
  <si>
    <t>601100-Academic Salaries-FERP</t>
  </si>
  <si>
    <t>601805-Lecturers</t>
  </si>
  <si>
    <t>Total Expense</t>
  </si>
  <si>
    <t>Balance on CBF</t>
  </si>
  <si>
    <t>84000-Budget-additonal</t>
  </si>
  <si>
    <t>84000-Budget-College Allocation</t>
  </si>
  <si>
    <t>603011-Life Insurance</t>
  </si>
  <si>
    <t>Balance on SSF</t>
  </si>
  <si>
    <t>601304-Teaching Associates</t>
  </si>
  <si>
    <t>601300-Support Staff Salaries</t>
  </si>
  <si>
    <t>660003 Alarm</t>
  </si>
  <si>
    <t xml:space="preserve">660003 Equipment </t>
  </si>
  <si>
    <t>660010 Insurance</t>
  </si>
  <si>
    <t>617801 Interfund Svc assessment (Summer School)</t>
  </si>
  <si>
    <t>660003 It Hardware</t>
  </si>
  <si>
    <t>660003 It Software</t>
  </si>
  <si>
    <t>660003 Lab Expense - Consumable</t>
  </si>
  <si>
    <t>660003 Lab Expense - Replace/Repair</t>
  </si>
  <si>
    <t>660003 Lab Upgrades</t>
  </si>
  <si>
    <t>660003 Lockers</t>
  </si>
  <si>
    <t>617001 Maintenance Agreements/Services</t>
  </si>
  <si>
    <t>660003 Misc</t>
  </si>
  <si>
    <t>660003 Office Supplies</t>
  </si>
  <si>
    <t>660003 Parking Fees</t>
  </si>
  <si>
    <t>660003 Petty Cash Reimbursements</t>
  </si>
  <si>
    <t>660001 Postage and Freight</t>
  </si>
  <si>
    <t>660003 Supplies and Service</t>
  </si>
  <si>
    <t>617001 Svcs from other Agencies</t>
  </si>
  <si>
    <t>604803 Telephone Cellular</t>
  </si>
  <si>
    <t>604800 Telephone Lines and features</t>
  </si>
  <si>
    <t>604802 Telephone Usage</t>
  </si>
  <si>
    <t>606000 Travel In State</t>
  </si>
  <si>
    <t>606806 Recruitment-In State</t>
  </si>
  <si>
    <t>606002 Travel Out of State</t>
  </si>
  <si>
    <t xml:space="preserve"> 660003 ITS Maintenance</t>
  </si>
  <si>
    <t>NonEntitled</t>
  </si>
  <si>
    <t>Total of all</t>
  </si>
  <si>
    <t>SA-TECH's</t>
  </si>
  <si>
    <t>84000 (Roll fwd SSF bal)</t>
  </si>
  <si>
    <t>84000 (Roll fwd CBF bal)</t>
  </si>
  <si>
    <t xml:space="preserve">Roll Forward Deficit SSF </t>
  </si>
  <si>
    <t>Summer Session</t>
  </si>
  <si>
    <t>Summer Session - Benefits</t>
  </si>
  <si>
    <t>Summer Session Total</t>
  </si>
  <si>
    <t>SSF Perm Base Program SSF01</t>
  </si>
  <si>
    <t>CPP Prog Code CPP01 funding</t>
  </si>
  <si>
    <t>CBF Program Code AA004</t>
  </si>
  <si>
    <t>603011-Life</t>
  </si>
  <si>
    <t>603014-Long-Term Disability Insurance</t>
  </si>
  <si>
    <t>Totals</t>
  </si>
  <si>
    <t>Total Salary</t>
  </si>
  <si>
    <t>Total Benefits</t>
  </si>
  <si>
    <t>Total Salary+Benefits</t>
  </si>
  <si>
    <t>Balance available in Lottery</t>
  </si>
  <si>
    <t>Interfund Service assess (Summer)</t>
  </si>
  <si>
    <t>MCF</t>
  </si>
  <si>
    <t>GF Critical Cours Funding</t>
  </si>
  <si>
    <t>CSUEU GSI Sal + Ben</t>
  </si>
  <si>
    <t>SSF Critical Courses</t>
  </si>
  <si>
    <t>SSF Department Multi D</t>
  </si>
  <si>
    <t>Roll Forward CPP</t>
  </si>
  <si>
    <t>Danowitz</t>
  </si>
  <si>
    <t>Entitled Lecturer Salaries 3 year</t>
  </si>
  <si>
    <t>Entitled Lecturer Benefits 3 year</t>
  </si>
  <si>
    <t>Total Entitled Lecturer 12:12</t>
  </si>
  <si>
    <t>Entitled Lecturer Benefits 12:12</t>
  </si>
  <si>
    <t>Entitled Lecturer Salaries 12:12</t>
  </si>
  <si>
    <t>Total Entitled Lecturer 3 year</t>
  </si>
  <si>
    <t>Non-Entitled Total</t>
  </si>
  <si>
    <t>12:12 Total</t>
  </si>
  <si>
    <t>Total of Other Sources</t>
  </si>
  <si>
    <t>84000 (Roll fwd CPP)</t>
  </si>
  <si>
    <t>Encumberance</t>
  </si>
  <si>
    <t>Roll Forward bal/deficit CBF</t>
  </si>
  <si>
    <t>Encumbrance roll forward</t>
  </si>
  <si>
    <t>Lecturers, Entitled (12:3)</t>
  </si>
  <si>
    <t>Lecturers, Entitled (12:12)</t>
  </si>
  <si>
    <t>Adjustment from Prior Year</t>
  </si>
  <si>
    <t>Adjustments from prior year</t>
  </si>
  <si>
    <t>SSF CENG Allocation to Dept</t>
  </si>
  <si>
    <t>Multi D</t>
  </si>
  <si>
    <t>Actuals</t>
  </si>
  <si>
    <t>Total TA's</t>
  </si>
  <si>
    <t>Total  ISA</t>
  </si>
  <si>
    <t>Crit Course 1X Wtr/Spr</t>
  </si>
  <si>
    <t>Lottery</t>
  </si>
  <si>
    <t>Grand Total</t>
  </si>
  <si>
    <t>84000-2014-15 deficit rollover</t>
  </si>
  <si>
    <t>84000-Dept Specific-Danowitz Prof</t>
  </si>
  <si>
    <t>601304 - Teaching Associate</t>
  </si>
  <si>
    <t>GS 597 funds</t>
  </si>
  <si>
    <t>660003 ITS Maintenance</t>
  </si>
  <si>
    <t>601805 - Lecturers</t>
  </si>
  <si>
    <t>Total of Other Income</t>
  </si>
  <si>
    <t>Grad Ed - GS597</t>
  </si>
  <si>
    <t>Subtotal: CBF, CPP</t>
  </si>
  <si>
    <t>Lottery balance</t>
  </si>
  <si>
    <t>Other</t>
  </si>
  <si>
    <t>Permanent Allocations</t>
  </si>
  <si>
    <t>Permanent Allocation Totals</t>
  </si>
  <si>
    <t>Lottery Total</t>
  </si>
  <si>
    <t>Other Total</t>
  </si>
  <si>
    <t>2015-16</t>
  </si>
  <si>
    <t>% of Remain</t>
  </si>
  <si>
    <t>Projected Budget Balance (Deficit)</t>
  </si>
  <si>
    <t>Budget (Roll fwd 2014-15)</t>
  </si>
  <si>
    <t>CPP Prog Code Area F</t>
  </si>
  <si>
    <t>CSUEU Camp Equity</t>
  </si>
  <si>
    <t>Proposed</t>
  </si>
  <si>
    <t>CBF</t>
  </si>
  <si>
    <t>2014-15 Encumberance Roll forwd</t>
  </si>
  <si>
    <t>CPP Area F</t>
  </si>
  <si>
    <t xml:space="preserve">CPP </t>
  </si>
  <si>
    <t>2015-16 Actuals</t>
  </si>
  <si>
    <t>Danowitz Prof Development</t>
  </si>
  <si>
    <t>CENG Grad Program Coordinator</t>
  </si>
  <si>
    <t>CPO 15-4198;Prom Prac Benson</t>
  </si>
  <si>
    <t>CPO 15-4198;Prom Prac Perks</t>
  </si>
  <si>
    <t>VISIT SU15</t>
  </si>
  <si>
    <t>Roll Forward from 2014-15</t>
  </si>
  <si>
    <t>Roll Forward Total</t>
  </si>
  <si>
    <t>CENG Off-the-top</t>
  </si>
  <si>
    <t>Memberships</t>
  </si>
  <si>
    <t>Hosting</t>
  </si>
  <si>
    <t>660003-Supplies&amp;Services</t>
  </si>
  <si>
    <t>84000-Roll Forward - 2014-15</t>
  </si>
  <si>
    <t>GS597</t>
  </si>
  <si>
    <t>CENG Mid-Year</t>
  </si>
  <si>
    <t>CENG Mid-year</t>
  </si>
  <si>
    <t>2016-17</t>
  </si>
  <si>
    <t>Printing</t>
  </si>
  <si>
    <t>Grad Ed Total</t>
  </si>
  <si>
    <t>2016-17Expenditure</t>
  </si>
  <si>
    <t>2016-17 Actuals</t>
  </si>
  <si>
    <t>Acadmemic Stipend</t>
  </si>
  <si>
    <t>Hawkins</t>
  </si>
  <si>
    <t>Taxes from summer payout</t>
  </si>
  <si>
    <t>CENG Sabb Savings Reimb</t>
  </si>
  <si>
    <t>CENG Grad Prog Task Force</t>
  </si>
  <si>
    <t>CENG  MultiD Sr Proj</t>
  </si>
  <si>
    <t>CENG Partial Sabb Reimb</t>
  </si>
  <si>
    <t>2016-17 Retirement allocation</t>
  </si>
  <si>
    <t>2015-16 CENG Roll Fwd</t>
  </si>
  <si>
    <t>Fingerprinting/Background</t>
  </si>
  <si>
    <t>Fingerprinting/background</t>
  </si>
  <si>
    <t>Hawkins Prof Development</t>
  </si>
  <si>
    <t>Non-CFA Campu Equity Benefits &amp; Salary</t>
  </si>
  <si>
    <t>Unit 3 GSI Sal + Ben</t>
  </si>
  <si>
    <t>SL001-Non-program FY 2016-correction</t>
  </si>
  <si>
    <t>Misc</t>
  </si>
  <si>
    <t>Operating Expense Other (Lottery)</t>
  </si>
  <si>
    <t>Balance Forward 2015-2016</t>
  </si>
  <si>
    <t>GS597 Fees to MS EE</t>
  </si>
  <si>
    <t>Procard-Swift</t>
  </si>
  <si>
    <t>Summer 2016 Settlement</t>
  </si>
  <si>
    <t>Bonus-Gerfen</t>
  </si>
  <si>
    <t>Sustainability Conf 2015-16</t>
  </si>
  <si>
    <t>Sustainability Conference</t>
  </si>
  <si>
    <t>ACIP -  - 4 WTU</t>
  </si>
  <si>
    <t xml:space="preserve"> CPE Director appt</t>
  </si>
  <si>
    <t xml:space="preserve"> fac svc June 2016</t>
  </si>
  <si>
    <t>Start up</t>
  </si>
  <si>
    <t>A</t>
  </si>
  <si>
    <t>B</t>
  </si>
  <si>
    <t>C</t>
  </si>
  <si>
    <t>D</t>
  </si>
  <si>
    <t>E</t>
  </si>
  <si>
    <t>DDC</t>
  </si>
  <si>
    <t>MPP</t>
  </si>
  <si>
    <t>F</t>
  </si>
  <si>
    <t>G</t>
  </si>
  <si>
    <t>I</t>
  </si>
  <si>
    <t>J</t>
  </si>
  <si>
    <t>H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</si>
  <si>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</si>
  <si>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</si>
  <si>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</si>
  <si>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</si>
  <si>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</si>
  <si>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</si>
  <si>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</si>
  <si>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</si>
  <si>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</si>
  <si>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</si>
  <si>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</si>
  <si>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</si>
  <si>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</si>
  <si>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Y</t>
  </si>
  <si>
    <t>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</si>
</sst>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-yy;@"/>
    <numFmt numFmtId="165" formatCode="&quot;$&quot;#,##0.00"/>
  </numFmts>
  <fonts count="6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u/>
      <sz val="8.5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8.5"/>
      <name val="Arial"/>
      <family val="2"/>
    </font>
    <font>
      <b/>
      <i/>
      <sz val="8.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87">
    <xf numFmtId="0" fontId="0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9" applyNumberFormat="0" applyAlignment="0" applyProtection="0"/>
    <xf numFmtId="0" fontId="43" fillId="28" borderId="10" applyNumberFormat="0" applyAlignment="0" applyProtection="0"/>
    <xf numFmtId="44" fontId="35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9" applyNumberFormat="0" applyAlignment="0" applyProtection="0"/>
    <xf numFmtId="0" fontId="50" fillId="0" borderId="14" applyNumberFormat="0" applyFill="0" applyAlignment="0" applyProtection="0"/>
    <xf numFmtId="0" fontId="51" fillId="31" borderId="0" applyNumberFormat="0" applyBorder="0" applyAlignment="0" applyProtection="0"/>
    <xf numFmtId="0" fontId="31" fillId="0" borderId="0"/>
    <xf numFmtId="0" fontId="28" fillId="0" borderId="0"/>
    <xf numFmtId="0" fontId="31" fillId="0" borderId="0"/>
    <xf numFmtId="0" fontId="28" fillId="0" borderId="0"/>
    <xf numFmtId="0" fontId="39" fillId="0" borderId="0"/>
    <xf numFmtId="0" fontId="31" fillId="0" borderId="0"/>
    <xf numFmtId="0" fontId="28" fillId="0" borderId="0"/>
    <xf numFmtId="0" fontId="34" fillId="0" borderId="0"/>
    <xf numFmtId="0" fontId="28" fillId="0" borderId="0"/>
    <xf numFmtId="0" fontId="39" fillId="0" borderId="0"/>
    <xf numFmtId="0" fontId="31" fillId="0" borderId="0"/>
    <xf numFmtId="0" fontId="28" fillId="0" borderId="0"/>
    <xf numFmtId="0" fontId="31" fillId="0" borderId="0"/>
    <xf numFmtId="0" fontId="28" fillId="0" borderId="0"/>
    <xf numFmtId="0" fontId="39" fillId="32" borderId="15" applyNumberFormat="0" applyFont="0" applyAlignment="0" applyProtection="0"/>
    <xf numFmtId="0" fontId="52" fillId="27" borderId="16" applyNumberFormat="0" applyAlignment="0" applyProtection="0"/>
    <xf numFmtId="0" fontId="53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55" fillId="0" borderId="0" applyNumberFormat="0" applyFill="0" applyBorder="0" applyAlignment="0" applyProtection="0"/>
    <xf numFmtId="0" fontId="18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0" borderId="0"/>
    <xf numFmtId="0" fontId="16" fillId="32" borderId="15" applyNumberFormat="0" applyFont="0" applyAlignment="0" applyProtection="0"/>
    <xf numFmtId="0" fontId="16" fillId="0" borderId="0"/>
    <xf numFmtId="0" fontId="15" fillId="0" borderId="0"/>
    <xf numFmtId="0" fontId="15" fillId="32" borderId="15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3" fillId="0" borderId="0"/>
    <xf numFmtId="0" fontId="13" fillId="32" borderId="15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2" borderId="15" applyNumberFormat="0" applyFont="0" applyAlignment="0" applyProtection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2" borderId="15" applyNumberFormat="0" applyFont="0" applyAlignment="0" applyProtection="0"/>
    <xf numFmtId="0" fontId="9" fillId="0" borderId="0"/>
    <xf numFmtId="0" fontId="9" fillId="0" borderId="0"/>
    <xf numFmtId="0" fontId="9" fillId="32" borderId="15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2" borderId="15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7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32" borderId="15" applyNumberFormat="0" applyFont="0" applyAlignment="0" applyProtection="0"/>
    <xf numFmtId="0" fontId="6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32" borderId="15" applyNumberFormat="0" applyFont="0" applyAlignment="0" applyProtection="0"/>
    <xf numFmtId="0" fontId="6" fillId="0" borderId="0"/>
    <xf numFmtId="0" fontId="6" fillId="0" borderId="0"/>
    <xf numFmtId="0" fontId="6" fillId="32" borderId="15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15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32" borderId="15" applyNumberFormat="0" applyFont="0" applyAlignment="0" applyProtection="0"/>
    <xf numFmtId="0" fontId="6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32" borderId="15" applyNumberFormat="0" applyFont="0" applyAlignment="0" applyProtection="0"/>
    <xf numFmtId="0" fontId="6" fillId="0" borderId="0"/>
    <xf numFmtId="0" fontId="6" fillId="0" borderId="0"/>
    <xf numFmtId="0" fontId="6" fillId="32" borderId="15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15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</cellStyleXfs>
  <cellXfs count="413">
    <xf numFmtId="0" fontId="0" fillId="0" borderId="0" xfId="0"/>
    <xf numFmtId="49" fontId="21" fillId="0" borderId="0" xfId="0" applyNumberFormat="1" applyFont="1"/>
    <xf numFmtId="0" fontId="22" fillId="0" borderId="0" xfId="0" applyFont="1"/>
    <xf numFmtId="0" fontId="23" fillId="0" borderId="0" xfId="0" applyFont="1"/>
    <xf numFmtId="40" fontId="23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/>
    <xf numFmtId="0" fontId="23" fillId="0" borderId="0" xfId="0" applyFont="1" applyAlignment="1">
      <alignment horizontal="right"/>
    </xf>
    <xf numFmtId="0" fontId="20" fillId="0" borderId="0" xfId="0" applyFont="1"/>
    <xf numFmtId="0" fontId="26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27" fillId="0" borderId="0" xfId="0" applyFont="1"/>
    <xf numFmtId="40" fontId="23" fillId="0" borderId="1" xfId="0" applyNumberFormat="1" applyFont="1" applyBorder="1" applyAlignment="1">
      <alignment horizontal="center"/>
    </xf>
    <xf numFmtId="49" fontId="30" fillId="0" borderId="0" xfId="0" applyNumberFormat="1" applyFont="1" applyAlignment="1">
      <alignment horizontal="right"/>
    </xf>
    <xf numFmtId="0" fontId="30" fillId="0" borderId="0" xfId="0" applyFont="1" applyAlignment="1">
      <alignment horizontal="right"/>
    </xf>
    <xf numFmtId="40" fontId="23" fillId="0" borderId="1" xfId="0" applyNumberFormat="1" applyFont="1" applyBorder="1" applyAlignment="1">
      <alignment horizontal="right"/>
    </xf>
    <xf numFmtId="40" fontId="29" fillId="0" borderId="1" xfId="0" applyNumberFormat="1" applyFont="1" applyBorder="1" applyAlignment="1">
      <alignment horizontal="right"/>
    </xf>
    <xf numFmtId="40" fontId="24" fillId="0" borderId="1" xfId="0" applyNumberFormat="1" applyFont="1" applyBorder="1" applyAlignment="1">
      <alignment horizontal="right"/>
    </xf>
    <xf numFmtId="0" fontId="31" fillId="0" borderId="0" xfId="0" applyFont="1"/>
    <xf numFmtId="0" fontId="22" fillId="0" borderId="0" xfId="0" applyFont="1" applyAlignment="1">
      <alignment horizontal="right"/>
    </xf>
    <xf numFmtId="40" fontId="24" fillId="0" borderId="0" xfId="0" applyNumberFormat="1" applyFont="1" applyBorder="1" applyAlignment="1">
      <alignment horizontal="right"/>
    </xf>
    <xf numFmtId="40" fontId="29" fillId="0" borderId="1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40" fontId="24" fillId="0" borderId="1" xfId="0" applyNumberFormat="1" applyFont="1" applyBorder="1" applyAlignment="1">
      <alignment horizontal="center"/>
    </xf>
    <xf numFmtId="0" fontId="23" fillId="0" borderId="0" xfId="0" applyFont="1" applyAlignment="1"/>
    <xf numFmtId="0" fontId="22" fillId="0" borderId="0" xfId="0" applyFont="1" applyAlignment="1"/>
    <xf numFmtId="40" fontId="23" fillId="0" borderId="0" xfId="0" applyNumberFormat="1" applyFont="1"/>
    <xf numFmtId="0" fontId="31" fillId="0" borderId="0" xfId="0" applyFont="1" applyAlignment="1">
      <alignment horizontal="right"/>
    </xf>
    <xf numFmtId="49" fontId="24" fillId="0" borderId="0" xfId="0" applyNumberFormat="1" applyFont="1" applyFill="1" applyAlignment="1">
      <alignment horizontal="left"/>
    </xf>
    <xf numFmtId="49" fontId="21" fillId="0" borderId="0" xfId="0" applyNumberFormat="1" applyFont="1" applyFill="1"/>
    <xf numFmtId="164" fontId="25" fillId="0" borderId="0" xfId="0" applyNumberFormat="1" applyFont="1"/>
    <xf numFmtId="164" fontId="0" fillId="0" borderId="0" xfId="0" applyNumberFormat="1"/>
    <xf numFmtId="0" fontId="32" fillId="0" borderId="3" xfId="0" applyFont="1" applyBorder="1" applyAlignment="1">
      <alignment horizontal="center"/>
    </xf>
    <xf numFmtId="0" fontId="31" fillId="0" borderId="0" xfId="0" applyFont="1" applyBorder="1"/>
    <xf numFmtId="0" fontId="31" fillId="0" borderId="0" xfId="0" applyFont="1" applyFill="1" applyAlignment="1">
      <alignment horizontal="right"/>
    </xf>
    <xf numFmtId="40" fontId="31" fillId="0" borderId="0" xfId="0" applyNumberFormat="1" applyFont="1" applyFill="1" applyBorder="1" applyAlignment="1">
      <alignment horizontal="right"/>
    </xf>
    <xf numFmtId="40" fontId="31" fillId="0" borderId="3" xfId="0" applyNumberFormat="1" applyFont="1" applyFill="1" applyBorder="1" applyAlignment="1">
      <alignment horizontal="right"/>
    </xf>
    <xf numFmtId="40" fontId="31" fillId="0" borderId="0" xfId="0" applyNumberFormat="1" applyFont="1" applyFill="1"/>
    <xf numFmtId="0" fontId="33" fillId="0" borderId="0" xfId="0" applyFont="1" applyFill="1" applyAlignment="1">
      <alignment horizontal="right"/>
    </xf>
    <xf numFmtId="40" fontId="33" fillId="0" borderId="0" xfId="0" applyNumberFormat="1" applyFont="1" applyFill="1" applyBorder="1"/>
    <xf numFmtId="0" fontId="31" fillId="33" borderId="0" xfId="0" applyFont="1" applyFill="1" applyAlignment="1">
      <alignment horizontal="right"/>
    </xf>
    <xf numFmtId="40" fontId="31" fillId="33" borderId="0" xfId="0" applyNumberFormat="1" applyFont="1" applyFill="1" applyAlignment="1">
      <alignment horizontal="right"/>
    </xf>
    <xf numFmtId="0" fontId="31" fillId="0" borderId="3" xfId="0" applyFont="1" applyBorder="1" applyAlignment="1">
      <alignment horizontal="center"/>
    </xf>
    <xf numFmtId="40" fontId="31" fillId="0" borderId="0" xfId="0" applyNumberFormat="1" applyFont="1" applyAlignment="1">
      <alignment horizontal="right"/>
    </xf>
    <xf numFmtId="0" fontId="33" fillId="33" borderId="0" xfId="0" applyFont="1" applyFill="1" applyAlignment="1">
      <alignment horizontal="right"/>
    </xf>
    <xf numFmtId="0" fontId="33" fillId="0" borderId="0" xfId="0" applyFont="1" applyAlignment="1">
      <alignment horizontal="right"/>
    </xf>
    <xf numFmtId="0" fontId="37" fillId="0" borderId="0" xfId="0" applyFont="1"/>
    <xf numFmtId="40" fontId="30" fillId="0" borderId="1" xfId="0" applyNumberFormat="1" applyFont="1" applyBorder="1" applyAlignment="1">
      <alignment horizontal="center"/>
    </xf>
    <xf numFmtId="40" fontId="29" fillId="0" borderId="1" xfId="0" applyNumberFormat="1" applyFont="1" applyBorder="1" applyAlignment="1">
      <alignment horizontal="left"/>
    </xf>
    <xf numFmtId="40" fontId="23" fillId="0" borderId="1" xfId="0" applyNumberFormat="1" applyFont="1" applyBorder="1" applyAlignment="1">
      <alignment horizontal="left"/>
    </xf>
    <xf numFmtId="40" fontId="30" fillId="0" borderId="1" xfId="0" applyNumberFormat="1" applyFont="1" applyBorder="1" applyAlignment="1">
      <alignment horizontal="right"/>
    </xf>
    <xf numFmtId="40" fontId="31" fillId="0" borderId="0" xfId="0" applyNumberFormat="1" applyFont="1"/>
    <xf numFmtId="0" fontId="28" fillId="0" borderId="0" xfId="0" applyFont="1"/>
    <xf numFmtId="0" fontId="28" fillId="0" borderId="0" xfId="0" applyFont="1" applyAlignment="1">
      <alignment horizontal="right"/>
    </xf>
    <xf numFmtId="40" fontId="31" fillId="0" borderId="0" xfId="0" applyNumberFormat="1" applyFont="1" applyBorder="1" applyAlignment="1">
      <alignment horizontal="right"/>
    </xf>
    <xf numFmtId="8" fontId="0" fillId="0" borderId="0" xfId="0" applyNumberFormat="1"/>
    <xf numFmtId="0" fontId="28" fillId="0" borderId="0" xfId="0" applyFont="1" applyFill="1" applyAlignment="1">
      <alignment horizontal="right"/>
    </xf>
    <xf numFmtId="40" fontId="22" fillId="0" borderId="1" xfId="0" applyNumberFormat="1" applyFont="1" applyBorder="1"/>
    <xf numFmtId="0" fontId="38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" fontId="32" fillId="0" borderId="3" xfId="0" applyNumberFormat="1" applyFont="1" applyBorder="1" applyAlignment="1">
      <alignment horizontal="center"/>
    </xf>
    <xf numFmtId="0" fontId="0" fillId="0" borderId="1" xfId="0" applyBorder="1"/>
    <xf numFmtId="0" fontId="28" fillId="0" borderId="1" xfId="0" applyFont="1" applyBorder="1"/>
    <xf numFmtId="0" fontId="0" fillId="0" borderId="1" xfId="0" applyFill="1" applyBorder="1"/>
    <xf numFmtId="0" fontId="28" fillId="0" borderId="0" xfId="0" applyFont="1" applyFill="1" applyAlignment="1">
      <alignment horizontal="right" shrinkToFit="1"/>
    </xf>
    <xf numFmtId="0" fontId="32" fillId="0" borderId="0" xfId="0" applyFont="1" applyFill="1" applyAlignment="1">
      <alignment horizontal="right"/>
    </xf>
    <xf numFmtId="40" fontId="32" fillId="0" borderId="0" xfId="0" applyNumberFormat="1" applyFont="1" applyFill="1" applyBorder="1" applyAlignment="1">
      <alignment horizontal="right"/>
    </xf>
    <xf numFmtId="40" fontId="33" fillId="0" borderId="0" xfId="0" applyNumberFormat="1" applyFont="1" applyFill="1" applyBorder="1" applyAlignment="1">
      <alignment horizontal="right"/>
    </xf>
    <xf numFmtId="0" fontId="20" fillId="0" borderId="0" xfId="0" applyFont="1" applyBorder="1"/>
    <xf numFmtId="0" fontId="28" fillId="0" borderId="0" xfId="0" applyFont="1" applyFill="1" applyBorder="1" applyAlignment="1">
      <alignment horizontal="right"/>
    </xf>
    <xf numFmtId="40" fontId="22" fillId="0" borderId="0" xfId="0" applyNumberFormat="1" applyFont="1"/>
    <xf numFmtId="0" fontId="56" fillId="0" borderId="0" xfId="0" applyFont="1"/>
    <xf numFmtId="0" fontId="56" fillId="0" borderId="0" xfId="0" applyFont="1" applyAlignment="1">
      <alignment horizontal="right"/>
    </xf>
    <xf numFmtId="0" fontId="57" fillId="0" borderId="1" xfId="0" applyFont="1" applyBorder="1" applyAlignment="1">
      <alignment horizontal="left"/>
    </xf>
    <xf numFmtId="0" fontId="56" fillId="0" borderId="1" xfId="0" applyFont="1" applyBorder="1" applyAlignment="1">
      <alignment horizontal="left" indent="1"/>
    </xf>
    <xf numFmtId="0" fontId="56" fillId="0" borderId="1" xfId="0" applyFont="1" applyBorder="1"/>
    <xf numFmtId="0" fontId="57" fillId="0" borderId="1" xfId="0" applyFont="1" applyBorder="1" applyAlignment="1">
      <alignment horizontal="right"/>
    </xf>
    <xf numFmtId="0" fontId="57" fillId="0" borderId="1" xfId="0" applyFont="1" applyBorder="1" applyAlignment="1">
      <alignment horizontal="center"/>
    </xf>
    <xf numFmtId="40" fontId="28" fillId="0" borderId="1" xfId="0" applyNumberFormat="1" applyFont="1" applyFill="1" applyBorder="1" applyAlignment="1">
      <alignment horizontal="right"/>
    </xf>
    <xf numFmtId="40" fontId="28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8" fontId="0" fillId="0" borderId="0" xfId="0" applyNumberFormat="1" applyAlignment="1">
      <alignment wrapText="1"/>
    </xf>
    <xf numFmtId="8" fontId="32" fillId="0" borderId="3" xfId="0" applyNumberFormat="1" applyFont="1" applyBorder="1" applyAlignment="1">
      <alignment horizontal="center"/>
    </xf>
    <xf numFmtId="8" fontId="31" fillId="0" borderId="0" xfId="0" applyNumberFormat="1" applyFont="1" applyBorder="1" applyAlignment="1">
      <alignment horizontal="right"/>
    </xf>
    <xf numFmtId="8" fontId="31" fillId="0" borderId="0" xfId="0" applyNumberFormat="1" applyFont="1" applyFill="1" applyBorder="1" applyAlignment="1">
      <alignment horizontal="right"/>
    </xf>
    <xf numFmtId="8" fontId="32" fillId="0" borderId="0" xfId="0" applyNumberFormat="1" applyFont="1" applyFill="1" applyBorder="1" applyAlignment="1">
      <alignment horizontal="right"/>
    </xf>
    <xf numFmtId="8" fontId="31" fillId="0" borderId="3" xfId="0" applyNumberFormat="1" applyFont="1" applyFill="1" applyBorder="1" applyAlignment="1">
      <alignment horizontal="right"/>
    </xf>
    <xf numFmtId="8" fontId="31" fillId="0" borderId="0" xfId="0" applyNumberFormat="1" applyFont="1" applyAlignment="1">
      <alignment horizontal="right"/>
    </xf>
    <xf numFmtId="8" fontId="31" fillId="33" borderId="0" xfId="0" applyNumberFormat="1" applyFont="1" applyFill="1" applyAlignment="1">
      <alignment horizontal="right"/>
    </xf>
    <xf numFmtId="8" fontId="31" fillId="33" borderId="0" xfId="0" applyNumberFormat="1" applyFont="1" applyFill="1" applyBorder="1" applyAlignment="1">
      <alignment horizontal="right"/>
    </xf>
    <xf numFmtId="8" fontId="31" fillId="33" borderId="3" xfId="0" applyNumberFormat="1" applyFont="1" applyFill="1" applyBorder="1" applyAlignment="1">
      <alignment horizontal="right"/>
    </xf>
    <xf numFmtId="8" fontId="32" fillId="33" borderId="0" xfId="0" applyNumberFormat="1" applyFont="1" applyFill="1" applyAlignment="1">
      <alignment horizontal="right"/>
    </xf>
    <xf numFmtId="8" fontId="32" fillId="0" borderId="3" xfId="0" applyNumberFormat="1" applyFont="1" applyBorder="1" applyAlignment="1">
      <alignment horizontal="right"/>
    </xf>
    <xf numFmtId="8" fontId="20" fillId="0" borderId="0" xfId="0" applyNumberFormat="1" applyFont="1"/>
    <xf numFmtId="40" fontId="31" fillId="33" borderId="0" xfId="0" applyNumberFormat="1" applyFont="1" applyFill="1" applyBorder="1" applyAlignment="1">
      <alignment horizontal="right"/>
    </xf>
    <xf numFmtId="40" fontId="31" fillId="33" borderId="3" xfId="0" applyNumberFormat="1" applyFont="1" applyFill="1" applyBorder="1" applyAlignment="1">
      <alignment horizontal="right"/>
    </xf>
    <xf numFmtId="8" fontId="36" fillId="0" borderId="0" xfId="0" applyNumberFormat="1" applyFont="1" applyFill="1" applyBorder="1" applyAlignment="1">
      <alignment horizontal="right"/>
    </xf>
    <xf numFmtId="8" fontId="28" fillId="0" borderId="0" xfId="0" applyNumberFormat="1" applyFont="1" applyAlignment="1">
      <alignment wrapText="1"/>
    </xf>
    <xf numFmtId="1" fontId="0" fillId="0" borderId="0" xfId="0" applyNumberFormat="1" applyAlignment="1">
      <alignment wrapText="1"/>
    </xf>
    <xf numFmtId="1" fontId="0" fillId="0" borderId="0" xfId="0" applyNumberFormat="1"/>
    <xf numFmtId="0" fontId="28" fillId="0" borderId="0" xfId="0" applyFont="1" applyFill="1" applyAlignment="1">
      <alignment wrapText="1"/>
    </xf>
    <xf numFmtId="0" fontId="56" fillId="0" borderId="0" xfId="0" applyFont="1" applyBorder="1" applyAlignment="1">
      <alignment horizontal="right" wrapText="1"/>
    </xf>
    <xf numFmtId="40" fontId="24" fillId="0" borderId="1" xfId="0" applyNumberFormat="1" applyFont="1" applyBorder="1" applyAlignment="1">
      <alignment horizontal="right"/>
    </xf>
    <xf numFmtId="40" fontId="24" fillId="0" borderId="1" xfId="0" applyNumberFormat="1" applyFont="1" applyFill="1" applyBorder="1" applyAlignment="1">
      <alignment horizontal="right"/>
    </xf>
    <xf numFmtId="40" fontId="30" fillId="0" borderId="1" xfId="0" applyNumberFormat="1" applyFont="1" applyFill="1" applyBorder="1" applyAlignment="1">
      <alignment horizontal="right"/>
    </xf>
    <xf numFmtId="49" fontId="23" fillId="0" borderId="0" xfId="0" applyNumberFormat="1" applyFont="1" applyFill="1" applyAlignment="1">
      <alignment horizontal="left"/>
    </xf>
    <xf numFmtId="0" fontId="24" fillId="0" borderId="0" xfId="0" applyFont="1" applyAlignment="1">
      <alignment horizontal="left"/>
    </xf>
    <xf numFmtId="40" fontId="24" fillId="0" borderId="1" xfId="0" applyNumberFormat="1" applyFont="1" applyBorder="1" applyAlignment="1">
      <alignment horizontal="left"/>
    </xf>
    <xf numFmtId="40" fontId="30" fillId="0" borderId="1" xfId="0" applyNumberFormat="1" applyFont="1" applyBorder="1" applyAlignment="1">
      <alignment horizontal="left"/>
    </xf>
    <xf numFmtId="0" fontId="24" fillId="0" borderId="0" xfId="0" applyFont="1"/>
    <xf numFmtId="40" fontId="0" fillId="0" borderId="0" xfId="0" applyNumberFormat="1"/>
    <xf numFmtId="8" fontId="28" fillId="0" borderId="1" xfId="0" applyNumberFormat="1" applyFont="1" applyBorder="1" applyAlignment="1">
      <alignment horizontal="center"/>
    </xf>
    <xf numFmtId="8" fontId="0" fillId="0" borderId="1" xfId="0" applyNumberFormat="1" applyBorder="1"/>
    <xf numFmtId="8" fontId="28" fillId="0" borderId="1" xfId="0" applyNumberFormat="1" applyFont="1" applyBorder="1"/>
    <xf numFmtId="8" fontId="0" fillId="0" borderId="0" xfId="0" applyNumberFormat="1" applyAlignment="1">
      <alignment horizontal="right"/>
    </xf>
    <xf numFmtId="0" fontId="31" fillId="0" borderId="0" xfId="0" applyFont="1" applyBorder="1" applyAlignment="1">
      <alignment horizontal="center"/>
    </xf>
    <xf numFmtId="0" fontId="56" fillId="0" borderId="1" xfId="0" applyFont="1" applyFill="1" applyBorder="1" applyAlignment="1">
      <alignment horizontal="left"/>
    </xf>
    <xf numFmtId="0" fontId="59" fillId="0" borderId="1" xfId="0" applyFont="1" applyFill="1" applyBorder="1" applyAlignment="1">
      <alignment horizontal="right"/>
    </xf>
    <xf numFmtId="0" fontId="57" fillId="0" borderId="0" xfId="0" applyFont="1" applyAlignment="1">
      <alignment horizontal="right"/>
    </xf>
    <xf numFmtId="0" fontId="57" fillId="0" borderId="22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18" fillId="0" borderId="0" xfId="58"/>
    <xf numFmtId="8" fontId="18" fillId="0" borderId="0" xfId="58" applyNumberFormat="1"/>
    <xf numFmtId="0" fontId="0" fillId="0" borderId="1" xfId="0" applyBorder="1" applyAlignment="1">
      <alignment horizontal="center"/>
    </xf>
    <xf numFmtId="0" fontId="0" fillId="0" borderId="1" xfId="0" applyFont="1" applyFill="1" applyBorder="1"/>
    <xf numFmtId="0" fontId="32" fillId="0" borderId="1" xfId="0" applyFont="1" applyBorder="1"/>
    <xf numFmtId="0" fontId="28" fillId="0" borderId="1" xfId="0" applyFont="1" applyFill="1" applyBorder="1"/>
    <xf numFmtId="0" fontId="17" fillId="0" borderId="0" xfId="58" applyFont="1"/>
    <xf numFmtId="40" fontId="23" fillId="0" borderId="1" xfId="0" applyNumberFormat="1" applyFont="1" applyBorder="1" applyAlignment="1">
      <alignment horizontal="right"/>
    </xf>
    <xf numFmtId="8" fontId="28" fillId="0" borderId="0" xfId="0" applyNumberFormat="1" applyFont="1"/>
    <xf numFmtId="0" fontId="32" fillId="0" borderId="1" xfId="0" applyFont="1" applyFill="1" applyBorder="1"/>
    <xf numFmtId="40" fontId="30" fillId="0" borderId="0" xfId="0" applyNumberFormat="1" applyFont="1" applyBorder="1" applyAlignment="1">
      <alignment horizontal="right"/>
    </xf>
    <xf numFmtId="40" fontId="24" fillId="0" borderId="22" xfId="0" applyNumberFormat="1" applyFont="1" applyBorder="1" applyAlignment="1">
      <alignment horizontal="right"/>
    </xf>
    <xf numFmtId="0" fontId="24" fillId="0" borderId="25" xfId="0" applyFont="1" applyBorder="1"/>
    <xf numFmtId="40" fontId="30" fillId="0" borderId="25" xfId="0" applyNumberFormat="1" applyFont="1" applyBorder="1" applyAlignment="1">
      <alignment horizontal="right"/>
    </xf>
    <xf numFmtId="0" fontId="24" fillId="0" borderId="0" xfId="0" applyFont="1" applyBorder="1"/>
    <xf numFmtId="40" fontId="23" fillId="0" borderId="1" xfId="0" applyNumberFormat="1" applyFont="1" applyBorder="1" applyAlignment="1">
      <alignment horizontal="right"/>
    </xf>
    <xf numFmtId="0" fontId="28" fillId="0" borderId="0" xfId="0" applyFont="1" applyAlignment="1">
      <alignment wrapText="1"/>
    </xf>
    <xf numFmtId="40" fontId="23" fillId="0" borderId="1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40" fontId="20" fillId="0" borderId="0" xfId="0" applyNumberFormat="1" applyFont="1"/>
    <xf numFmtId="8" fontId="12" fillId="0" borderId="0" xfId="58" applyNumberFormat="1" applyFont="1"/>
    <xf numFmtId="8" fontId="11" fillId="0" borderId="0" xfId="58" applyNumberFormat="1" applyFont="1"/>
    <xf numFmtId="8" fontId="18" fillId="0" borderId="1" xfId="58" applyNumberFormat="1" applyBorder="1"/>
    <xf numFmtId="8" fontId="28" fillId="0" borderId="7" xfId="0" applyNumberFormat="1" applyFont="1" applyBorder="1"/>
    <xf numFmtId="8" fontId="28" fillId="0" borderId="2" xfId="0" applyNumberFormat="1" applyFont="1" applyBorder="1"/>
    <xf numFmtId="8" fontId="28" fillId="0" borderId="8" xfId="0" applyNumberFormat="1" applyFont="1" applyBorder="1"/>
    <xf numFmtId="0" fontId="10" fillId="0" borderId="0" xfId="89" applyFont="1"/>
    <xf numFmtId="40" fontId="31" fillId="33" borderId="26" xfId="0" applyNumberFormat="1" applyFont="1" applyFill="1" applyBorder="1" applyAlignment="1">
      <alignment horizontal="right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56" fillId="0" borderId="0" xfId="0" applyFont="1" applyFill="1" applyBorder="1" applyAlignment="1">
      <alignment horizontal="left"/>
    </xf>
    <xf numFmtId="8" fontId="36" fillId="0" borderId="0" xfId="0" applyNumberFormat="1" applyFont="1"/>
    <xf numFmtId="40" fontId="23" fillId="0" borderId="1" xfId="0" applyNumberFormat="1" applyFont="1" applyBorder="1" applyAlignment="1">
      <alignment horizontal="right"/>
    </xf>
    <xf numFmtId="40" fontId="23" fillId="0" borderId="1" xfId="0" applyNumberFormat="1" applyFont="1" applyBorder="1" applyAlignment="1">
      <alignment horizontal="right"/>
    </xf>
    <xf numFmtId="40" fontId="23" fillId="0" borderId="22" xfId="0" applyNumberFormat="1" applyFont="1" applyBorder="1" applyAlignment="1">
      <alignment horizontal="right"/>
    </xf>
    <xf numFmtId="0" fontId="32" fillId="0" borderId="0" xfId="0" applyFont="1" applyFill="1" applyAlignment="1">
      <alignment horizontal="left"/>
    </xf>
    <xf numFmtId="0" fontId="28" fillId="0" borderId="1" xfId="0" applyFont="1" applyFill="1" applyBorder="1" applyAlignment="1">
      <alignment horizontal="center"/>
    </xf>
    <xf numFmtId="40" fontId="32" fillId="0" borderId="1" xfId="0" applyNumberFormat="1" applyFont="1" applyFill="1" applyBorder="1" applyAlignment="1">
      <alignment horizontal="right"/>
    </xf>
    <xf numFmtId="40" fontId="36" fillId="0" borderId="1" xfId="0" applyNumberFormat="1" applyFont="1" applyFill="1" applyBorder="1" applyAlignment="1">
      <alignment horizontal="right"/>
    </xf>
    <xf numFmtId="40" fontId="33" fillId="0" borderId="1" xfId="0" applyNumberFormat="1" applyFont="1" applyFill="1" applyBorder="1" applyAlignment="1">
      <alignment horizontal="right"/>
    </xf>
    <xf numFmtId="40" fontId="28" fillId="0" borderId="0" xfId="0" applyNumberFormat="1" applyFont="1" applyFill="1" applyBorder="1" applyAlignment="1">
      <alignment horizontal="right"/>
    </xf>
    <xf numFmtId="8" fontId="28" fillId="0" borderId="0" xfId="0" applyNumberFormat="1" applyFont="1" applyFill="1" applyBorder="1" applyAlignment="1">
      <alignment horizontal="right"/>
    </xf>
    <xf numFmtId="0" fontId="30" fillId="0" borderId="0" xfId="0" applyFont="1"/>
    <xf numFmtId="8" fontId="37" fillId="0" borderId="0" xfId="0" applyNumberFormat="1" applyFont="1"/>
    <xf numFmtId="40" fontId="24" fillId="0" borderId="1" xfId="0" applyNumberFormat="1" applyFont="1" applyBorder="1" applyAlignment="1">
      <alignment horizontal="right"/>
    </xf>
    <xf numFmtId="40" fontId="23" fillId="0" borderId="1" xfId="0" applyNumberFormat="1" applyFont="1" applyBorder="1" applyAlignment="1">
      <alignment horizontal="right"/>
    </xf>
    <xf numFmtId="40" fontId="23" fillId="0" borderId="1" xfId="0" applyNumberFormat="1" applyFont="1" applyBorder="1" applyAlignment="1">
      <alignment horizontal="right"/>
    </xf>
    <xf numFmtId="40" fontId="23" fillId="0" borderId="1" xfId="0" applyNumberFormat="1" applyFont="1" applyBorder="1" applyAlignment="1">
      <alignment horizontal="right"/>
    </xf>
    <xf numFmtId="4" fontId="56" fillId="0" borderId="0" xfId="0" applyNumberFormat="1" applyFont="1"/>
    <xf numFmtId="40" fontId="23" fillId="0" borderId="1" xfId="0" applyNumberFormat="1" applyFont="1" applyBorder="1" applyAlignment="1">
      <alignment horizontal="right"/>
    </xf>
    <xf numFmtId="40" fontId="37" fillId="0" borderId="0" xfId="0" applyNumberFormat="1" applyFont="1"/>
    <xf numFmtId="40" fontId="23" fillId="0" borderId="1" xfId="0" applyNumberFormat="1" applyFont="1" applyBorder="1" applyAlignment="1">
      <alignment horizontal="right"/>
    </xf>
    <xf numFmtId="40" fontId="23" fillId="0" borderId="1" xfId="0" applyNumberFormat="1" applyFont="1" applyBorder="1" applyAlignment="1">
      <alignment horizontal="right"/>
    </xf>
    <xf numFmtId="0" fontId="8" fillId="0" borderId="0" xfId="89" applyFont="1"/>
    <xf numFmtId="40" fontId="23" fillId="0" borderId="1" xfId="0" applyNumberFormat="1" applyFont="1" applyBorder="1" applyAlignment="1">
      <alignment horizontal="right"/>
    </xf>
    <xf numFmtId="0" fontId="32" fillId="0" borderId="0" xfId="0" applyFont="1" applyAlignment="1">
      <alignment horizontal="right" wrapText="1"/>
    </xf>
    <xf numFmtId="0" fontId="23" fillId="0" borderId="0" xfId="0" applyFont="1"/>
    <xf numFmtId="40" fontId="23" fillId="0" borderId="1" xfId="0" applyNumberFormat="1" applyFont="1" applyBorder="1" applyAlignment="1">
      <alignment horizontal="right"/>
    </xf>
    <xf numFmtId="0" fontId="23" fillId="0" borderId="0" xfId="0" applyFont="1"/>
    <xf numFmtId="40" fontId="23" fillId="0" borderId="1" xfId="0" applyNumberFormat="1" applyFont="1" applyBorder="1" applyAlignment="1">
      <alignment horizontal="right"/>
    </xf>
    <xf numFmtId="0" fontId="23" fillId="0" borderId="0" xfId="0" applyFont="1"/>
    <xf numFmtId="40" fontId="23" fillId="0" borderId="1" xfId="0" applyNumberFormat="1" applyFont="1" applyBorder="1" applyAlignment="1">
      <alignment horizontal="right"/>
    </xf>
    <xf numFmtId="40" fontId="29" fillId="0" borderId="1" xfId="0" applyNumberFormat="1" applyFont="1" applyBorder="1" applyAlignment="1">
      <alignment horizontal="right"/>
    </xf>
    <xf numFmtId="0" fontId="23" fillId="0" borderId="0" xfId="0" applyFont="1"/>
    <xf numFmtId="0" fontId="30" fillId="0" borderId="0" xfId="0" applyFont="1" applyAlignment="1">
      <alignment horizontal="right"/>
    </xf>
    <xf numFmtId="40" fontId="24" fillId="0" borderId="1" xfId="0" applyNumberFormat="1" applyFont="1" applyBorder="1" applyAlignment="1">
      <alignment horizontal="right"/>
    </xf>
    <xf numFmtId="40" fontId="0" fillId="0" borderId="0" xfId="0" applyNumberFormat="1"/>
    <xf numFmtId="40" fontId="23" fillId="0" borderId="1" xfId="0" applyNumberFormat="1" applyFont="1" applyBorder="1" applyAlignment="1">
      <alignment horizontal="right"/>
    </xf>
    <xf numFmtId="40" fontId="29" fillId="0" borderId="22" xfId="0" applyNumberFormat="1" applyFont="1" applyBorder="1" applyAlignment="1">
      <alignment horizontal="right"/>
    </xf>
    <xf numFmtId="0" fontId="23" fillId="0" borderId="1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40" fontId="28" fillId="0" borderId="1" xfId="0" applyNumberFormat="1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8" fontId="0" fillId="0" borderId="1" xfId="0" applyNumberFormat="1" applyBorder="1" applyAlignment="1">
      <alignment horizontal="right"/>
    </xf>
    <xf numFmtId="8" fontId="28" fillId="0" borderId="1" xfId="0" applyNumberFormat="1" applyFont="1" applyBorder="1" applyAlignment="1">
      <alignment horizontal="right"/>
    </xf>
    <xf numFmtId="8" fontId="0" fillId="0" borderId="0" xfId="0" applyNumberFormat="1" applyAlignment="1"/>
    <xf numFmtId="8" fontId="22" fillId="0" borderId="0" xfId="0" applyNumberFormat="1" applyFont="1" applyAlignment="1">
      <alignment horizontal="right"/>
    </xf>
    <xf numFmtId="0" fontId="28" fillId="0" borderId="0" xfId="0" applyFont="1" applyAlignment="1"/>
    <xf numFmtId="0" fontId="0" fillId="0" borderId="0" xfId="0" applyAlignment="1"/>
    <xf numFmtId="0" fontId="20" fillId="0" borderId="0" xfId="0" applyFont="1" applyAlignment="1">
      <alignment horizontal="right"/>
    </xf>
    <xf numFmtId="0" fontId="56" fillId="0" borderId="0" xfId="0" applyFont="1" applyFill="1" applyBorder="1" applyAlignment="1">
      <alignment horizontal="right"/>
    </xf>
    <xf numFmtId="0" fontId="56" fillId="0" borderId="1" xfId="0" applyFont="1" applyBorder="1" applyAlignment="1">
      <alignment horizontal="right"/>
    </xf>
    <xf numFmtId="40" fontId="23" fillId="0" borderId="1" xfId="0" applyNumberFormat="1" applyFont="1" applyBorder="1" applyAlignment="1">
      <alignment horizontal="right"/>
    </xf>
    <xf numFmtId="40" fontId="23" fillId="0" borderId="1" xfId="0" applyNumberFormat="1" applyFont="1" applyBorder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40" fontId="23" fillId="0" borderId="1" xfId="0" applyNumberFormat="1" applyFont="1" applyFill="1" applyBorder="1" applyAlignment="1">
      <alignment horizontal="left"/>
    </xf>
    <xf numFmtId="40" fontId="24" fillId="0" borderId="1" xfId="0" applyNumberFormat="1" applyFont="1" applyFill="1" applyBorder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right"/>
    </xf>
    <xf numFmtId="40" fontId="0" fillId="0" borderId="0" xfId="0" applyNumberFormat="1" applyFill="1" applyAlignment="1">
      <alignment horizontal="right"/>
    </xf>
    <xf numFmtId="0" fontId="28" fillId="0" borderId="0" xfId="0" applyFont="1" applyFill="1"/>
    <xf numFmtId="40" fontId="28" fillId="0" borderId="0" xfId="0" applyNumberFormat="1" applyFont="1" applyFill="1" applyAlignment="1">
      <alignment horizontal="right"/>
    </xf>
    <xf numFmtId="1" fontId="28" fillId="0" borderId="0" xfId="0" applyNumberFormat="1" applyFont="1" applyFill="1" applyAlignment="1">
      <alignment horizontal="right"/>
    </xf>
    <xf numFmtId="0" fontId="25" fillId="0" borderId="0" xfId="0" applyFont="1" applyFill="1"/>
    <xf numFmtId="0" fontId="32" fillId="0" borderId="0" xfId="0" applyFont="1" applyAlignment="1">
      <alignment wrapText="1"/>
    </xf>
    <xf numFmtId="0" fontId="28" fillId="0" borderId="0" xfId="0" applyFont="1" applyAlignment="1">
      <alignment horizontal="left" wrapText="1"/>
    </xf>
    <xf numFmtId="0" fontId="13" fillId="0" borderId="0" xfId="89" applyAlignment="1">
      <alignment horizontal="left"/>
    </xf>
    <xf numFmtId="0" fontId="8" fillId="0" borderId="0" xfId="89" applyFont="1" applyAlignment="1">
      <alignment horizontal="left"/>
    </xf>
    <xf numFmtId="0" fontId="14" fillId="0" borderId="0" xfId="75" applyFont="1" applyAlignment="1">
      <alignment horizontal="left" wrapText="1"/>
    </xf>
    <xf numFmtId="0" fontId="32" fillId="0" borderId="0" xfId="0" applyFont="1" applyAlignment="1">
      <alignment horizontal="center" wrapText="1"/>
    </xf>
    <xf numFmtId="8" fontId="32" fillId="0" borderId="0" xfId="0" applyNumberFormat="1" applyFont="1"/>
    <xf numFmtId="0" fontId="57" fillId="35" borderId="0" xfId="0" applyFont="1" applyFill="1" applyAlignment="1">
      <alignment horizontal="right"/>
    </xf>
    <xf numFmtId="0" fontId="57" fillId="34" borderId="0" xfId="0" applyFont="1" applyFill="1" applyAlignment="1">
      <alignment horizontal="right"/>
    </xf>
    <xf numFmtId="40" fontId="23" fillId="0" borderId="1" xfId="0" applyNumberFormat="1" applyFont="1" applyBorder="1" applyAlignment="1">
      <alignment horizontal="right"/>
    </xf>
    <xf numFmtId="40" fontId="24" fillId="0" borderId="1" xfId="0" applyNumberFormat="1" applyFont="1" applyBorder="1" applyAlignment="1">
      <alignment horizontal="right"/>
    </xf>
    <xf numFmtId="40" fontId="23" fillId="0" borderId="1" xfId="0" applyNumberFormat="1" applyFont="1" applyBorder="1" applyAlignment="1">
      <alignment horizontal="right"/>
    </xf>
    <xf numFmtId="0" fontId="63" fillId="0" borderId="0" xfId="0" applyFont="1" applyAlignment="1">
      <alignment horizontal="center"/>
    </xf>
    <xf numFmtId="38" fontId="64" fillId="36" borderId="0" xfId="0" applyNumberFormat="1" applyFont="1" applyFill="1" applyBorder="1" applyAlignment="1">
      <alignment horizontal="right" wrapText="1"/>
    </xf>
    <xf numFmtId="0" fontId="64" fillId="36" borderId="0" xfId="0" applyFont="1" applyFill="1" applyAlignment="1">
      <alignment horizontal="right"/>
    </xf>
    <xf numFmtId="0" fontId="64" fillId="36" borderId="0" xfId="0" applyFont="1" applyFill="1" applyBorder="1" applyAlignment="1">
      <alignment horizontal="right"/>
    </xf>
    <xf numFmtId="0" fontId="62" fillId="36" borderId="0" xfId="0" applyFont="1" applyFill="1" applyBorder="1" applyAlignment="1">
      <alignment horizontal="right"/>
    </xf>
    <xf numFmtId="0" fontId="64" fillId="37" borderId="1" xfId="0" applyFont="1" applyFill="1" applyBorder="1" applyAlignment="1">
      <alignment horizontal="right" indent="1"/>
    </xf>
    <xf numFmtId="0" fontId="57" fillId="37" borderId="1" xfId="0" applyFont="1" applyFill="1" applyBorder="1" applyAlignment="1">
      <alignment horizontal="right"/>
    </xf>
    <xf numFmtId="5" fontId="56" fillId="0" borderId="0" xfId="0" applyNumberFormat="1" applyFont="1"/>
    <xf numFmtId="0" fontId="62" fillId="37" borderId="19" xfId="0" applyFont="1" applyFill="1" applyBorder="1" applyAlignment="1">
      <alignment horizontal="right" wrapText="1"/>
    </xf>
    <xf numFmtId="40" fontId="23" fillId="0" borderId="1" xfId="0" applyNumberFormat="1" applyFont="1" applyBorder="1" applyAlignment="1">
      <alignment horizontal="right"/>
    </xf>
    <xf numFmtId="40" fontId="23" fillId="0" borderId="1" xfId="0" applyNumberFormat="1" applyFont="1" applyBorder="1" applyAlignment="1">
      <alignment horizontal="right"/>
    </xf>
    <xf numFmtId="0" fontId="5" fillId="0" borderId="0" xfId="75" applyFont="1" applyAlignment="1">
      <alignment horizontal="left" wrapText="1"/>
    </xf>
    <xf numFmtId="0" fontId="5" fillId="0" borderId="0" xfId="89" applyFont="1" applyAlignment="1">
      <alignment horizontal="left"/>
    </xf>
    <xf numFmtId="0" fontId="5" fillId="0" borderId="0" xfId="89" applyFont="1"/>
    <xf numFmtId="7" fontId="63" fillId="0" borderId="0" xfId="0" applyNumberFormat="1" applyFont="1" applyAlignment="1">
      <alignment horizontal="center"/>
    </xf>
    <xf numFmtId="7" fontId="56" fillId="0" borderId="0" xfId="0" applyNumberFormat="1" applyFont="1"/>
    <xf numFmtId="7" fontId="56" fillId="0" borderId="0" xfId="0" applyNumberFormat="1" applyFont="1" applyBorder="1"/>
    <xf numFmtId="7" fontId="64" fillId="36" borderId="0" xfId="0" applyNumberFormat="1" applyFont="1" applyFill="1"/>
    <xf numFmtId="7" fontId="64" fillId="36" borderId="0" xfId="39" applyNumberFormat="1" applyFont="1" applyFill="1" applyBorder="1" applyAlignment="1">
      <alignment wrapText="1"/>
    </xf>
    <xf numFmtId="7" fontId="57" fillId="0" borderId="0" xfId="0" applyNumberFormat="1" applyFont="1" applyBorder="1"/>
    <xf numFmtId="7" fontId="57" fillId="35" borderId="0" xfId="0" applyNumberFormat="1" applyFont="1" applyFill="1"/>
    <xf numFmtId="7" fontId="57" fillId="35" borderId="0" xfId="0" applyNumberFormat="1" applyFont="1" applyFill="1" applyBorder="1"/>
    <xf numFmtId="7" fontId="64" fillId="36" borderId="0" xfId="0" applyNumberFormat="1" applyFont="1" applyFill="1" applyBorder="1"/>
    <xf numFmtId="7" fontId="64" fillId="36" borderId="0" xfId="0" applyNumberFormat="1" applyFont="1" applyFill="1" applyAlignment="1">
      <alignment horizontal="right"/>
    </xf>
    <xf numFmtId="7" fontId="57" fillId="34" borderId="0" xfId="0" applyNumberFormat="1" applyFont="1" applyFill="1" applyAlignment="1">
      <alignment horizontal="right"/>
    </xf>
    <xf numFmtId="7" fontId="57" fillId="34" borderId="0" xfId="0" applyNumberFormat="1" applyFont="1" applyFill="1" applyBorder="1"/>
    <xf numFmtId="7" fontId="56" fillId="0" borderId="0" xfId="0" applyNumberFormat="1" applyFont="1" applyFill="1" applyBorder="1"/>
    <xf numFmtId="7" fontId="57" fillId="0" borderId="0" xfId="0" applyNumberFormat="1" applyFont="1" applyFill="1" applyBorder="1"/>
    <xf numFmtId="7" fontId="62" fillId="36" borderId="0" xfId="0" applyNumberFormat="1" applyFont="1" applyFill="1" applyBorder="1"/>
    <xf numFmtId="7" fontId="62" fillId="36" borderId="0" xfId="0" applyNumberFormat="1" applyFont="1" applyFill="1"/>
    <xf numFmtId="7" fontId="57" fillId="0" borderId="1" xfId="0" applyNumberFormat="1" applyFont="1" applyBorder="1" applyAlignment="1">
      <alignment horizontal="center" wrapText="1"/>
    </xf>
    <xf numFmtId="7" fontId="56" fillId="0" borderId="7" xfId="0" applyNumberFormat="1" applyFont="1" applyBorder="1" applyAlignment="1">
      <alignment horizontal="center"/>
    </xf>
    <xf numFmtId="7" fontId="56" fillId="0" borderId="7" xfId="0" applyNumberFormat="1" applyFont="1" applyBorder="1"/>
    <xf numFmtId="7" fontId="58" fillId="0" borderId="7" xfId="48" applyNumberFormat="1" applyFont="1" applyFill="1" applyBorder="1" applyAlignment="1">
      <alignment horizontal="right"/>
    </xf>
    <xf numFmtId="7" fontId="56" fillId="0" borderId="1" xfId="0" applyNumberFormat="1" applyFont="1" applyBorder="1"/>
    <xf numFmtId="7" fontId="56" fillId="0" borderId="5" xfId="0" applyNumberFormat="1" applyFont="1" applyBorder="1"/>
    <xf numFmtId="7" fontId="56" fillId="0" borderId="19" xfId="0" applyNumberFormat="1" applyFont="1" applyBorder="1"/>
    <xf numFmtId="7" fontId="64" fillId="37" borderId="20" xfId="0" applyNumberFormat="1" applyFont="1" applyFill="1" applyBorder="1"/>
    <xf numFmtId="7" fontId="64" fillId="37" borderId="21" xfId="0" applyNumberFormat="1" applyFont="1" applyFill="1" applyBorder="1"/>
    <xf numFmtId="7" fontId="56" fillId="0" borderId="20" xfId="0" applyNumberFormat="1" applyFont="1" applyBorder="1"/>
    <xf numFmtId="7" fontId="57" fillId="0" borderId="20" xfId="0" applyNumberFormat="1" applyFont="1" applyBorder="1" applyAlignment="1">
      <alignment horizontal="right"/>
    </xf>
    <xf numFmtId="7" fontId="56" fillId="0" borderId="20" xfId="0" applyNumberFormat="1" applyFont="1" applyBorder="1" applyAlignment="1">
      <alignment horizontal="right"/>
    </xf>
    <xf numFmtId="7" fontId="57" fillId="37" borderId="20" xfId="0" applyNumberFormat="1" applyFont="1" applyFill="1" applyBorder="1"/>
    <xf numFmtId="7" fontId="57" fillId="0" borderId="19" xfId="0" applyNumberFormat="1" applyFont="1" applyBorder="1" applyAlignment="1"/>
    <xf numFmtId="7" fontId="57" fillId="0" borderId="28" xfId="0" applyNumberFormat="1" applyFont="1" applyBorder="1"/>
    <xf numFmtId="7" fontId="62" fillId="37" borderId="27" xfId="0" applyNumberFormat="1" applyFont="1" applyFill="1" applyBorder="1"/>
    <xf numFmtId="7" fontId="57" fillId="0" borderId="0" xfId="0" applyNumberFormat="1" applyFont="1"/>
    <xf numFmtId="7" fontId="57" fillId="0" borderId="1" xfId="0" applyNumberFormat="1" applyFont="1" applyBorder="1"/>
    <xf numFmtId="40" fontId="23" fillId="0" borderId="1" xfId="0" applyNumberFormat="1" applyFont="1" applyBorder="1" applyAlignment="1">
      <alignment horizontal="right"/>
    </xf>
    <xf numFmtId="0" fontId="4" fillId="0" borderId="0" xfId="89" applyFont="1"/>
    <xf numFmtId="2" fontId="23" fillId="0" borderId="0" xfId="0" applyNumberFormat="1" applyFont="1"/>
    <xf numFmtId="40" fontId="23" fillId="0" borderId="1" xfId="0" applyNumberFormat="1" applyFont="1" applyBorder="1" applyAlignment="1">
      <alignment horizontal="right"/>
    </xf>
    <xf numFmtId="5" fontId="63" fillId="0" borderId="0" xfId="0" applyNumberFormat="1" applyFont="1" applyAlignment="1">
      <alignment horizontal="center"/>
    </xf>
    <xf numFmtId="5" fontId="64" fillId="36" borderId="0" xfId="0" applyNumberFormat="1" applyFont="1" applyFill="1"/>
    <xf numFmtId="5" fontId="57" fillId="35" borderId="0" xfId="0" applyNumberFormat="1" applyFont="1" applyFill="1"/>
    <xf numFmtId="5" fontId="64" fillId="36" borderId="0" xfId="0" applyNumberFormat="1" applyFont="1" applyFill="1" applyAlignment="1">
      <alignment horizontal="right"/>
    </xf>
    <xf numFmtId="5" fontId="57" fillId="34" borderId="0" xfId="0" applyNumberFormat="1" applyFont="1" applyFill="1" applyAlignment="1">
      <alignment horizontal="right"/>
    </xf>
    <xf numFmtId="5" fontId="64" fillId="36" borderId="0" xfId="0" applyNumberFormat="1" applyFont="1" applyFill="1" applyBorder="1"/>
    <xf numFmtId="5" fontId="62" fillId="36" borderId="0" xfId="0" applyNumberFormat="1" applyFont="1" applyFill="1" applyBorder="1"/>
    <xf numFmtId="5" fontId="62" fillId="36" borderId="0" xfId="0" applyNumberFormat="1" applyFont="1" applyFill="1"/>
    <xf numFmtId="5" fontId="57" fillId="0" borderId="1" xfId="0" applyNumberFormat="1" applyFont="1" applyBorder="1" applyAlignment="1">
      <alignment horizontal="center" wrapText="1"/>
    </xf>
    <xf numFmtId="5" fontId="56" fillId="0" borderId="1" xfId="0" applyNumberFormat="1" applyFont="1" applyBorder="1" applyAlignment="1">
      <alignment horizontal="center"/>
    </xf>
    <xf numFmtId="5" fontId="58" fillId="0" borderId="6" xfId="48" applyNumberFormat="1" applyFont="1" applyFill="1" applyBorder="1" applyAlignment="1">
      <alignment horizontal="right"/>
    </xf>
    <xf numFmtId="5" fontId="56" fillId="0" borderId="1" xfId="0" applyNumberFormat="1" applyFont="1" applyBorder="1"/>
    <xf numFmtId="5" fontId="56" fillId="0" borderId="5" xfId="0" applyNumberFormat="1" applyFont="1" applyBorder="1"/>
    <xf numFmtId="5" fontId="64" fillId="37" borderId="18" xfId="0" applyNumberFormat="1" applyFont="1" applyFill="1" applyBorder="1"/>
    <xf numFmtId="5" fontId="57" fillId="0" borderId="1" xfId="0" applyNumberFormat="1" applyFont="1" applyBorder="1" applyAlignment="1">
      <alignment horizontal="right"/>
    </xf>
    <xf numFmtId="5" fontId="56" fillId="0" borderId="1" xfId="0" applyNumberFormat="1" applyFont="1" applyBorder="1" applyAlignment="1">
      <alignment horizontal="right"/>
    </xf>
    <xf numFmtId="5" fontId="57" fillId="37" borderId="1" xfId="0" applyNumberFormat="1" applyFont="1" applyFill="1" applyBorder="1"/>
    <xf numFmtId="5" fontId="57" fillId="0" borderId="23" xfId="0" applyNumberFormat="1" applyFont="1" applyBorder="1"/>
    <xf numFmtId="5" fontId="62" fillId="37" borderId="24" xfId="0" applyNumberFormat="1" applyFont="1" applyFill="1" applyBorder="1"/>
    <xf numFmtId="5" fontId="57" fillId="0" borderId="0" xfId="0" applyNumberFormat="1" applyFont="1"/>
    <xf numFmtId="5" fontId="57" fillId="0" borderId="1" xfId="0" applyNumberFormat="1" applyFont="1" applyBorder="1"/>
    <xf numFmtId="40" fontId="23" fillId="0" borderId="1" xfId="0" applyNumberFormat="1" applyFont="1" applyBorder="1" applyAlignment="1">
      <alignment horizontal="right"/>
    </xf>
    <xf numFmtId="40" fontId="24" fillId="0" borderId="1" xfId="0" applyNumberFormat="1" applyFont="1" applyBorder="1" applyAlignment="1">
      <alignment horizontal="right"/>
    </xf>
    <xf numFmtId="40" fontId="23" fillId="0" borderId="1" xfId="0" applyNumberFormat="1" applyFont="1" applyBorder="1" applyAlignment="1">
      <alignment horizontal="right"/>
    </xf>
    <xf numFmtId="40" fontId="23" fillId="0" borderId="1" xfId="0" applyNumberFormat="1" applyFont="1" applyBorder="1" applyAlignment="1">
      <alignment horizontal="right"/>
    </xf>
    <xf numFmtId="0" fontId="23" fillId="0" borderId="0" xfId="0" applyFont="1" applyAlignment="1">
      <alignment horizontal="right"/>
    </xf>
    <xf numFmtId="0" fontId="56" fillId="0" borderId="1" xfId="0" applyFont="1" applyBorder="1" applyAlignment="1">
      <alignment horizontal="left"/>
    </xf>
    <xf numFmtId="40" fontId="23" fillId="0" borderId="1" xfId="0" applyNumberFormat="1" applyFont="1" applyBorder="1" applyAlignment="1">
      <alignment horizontal="right"/>
    </xf>
    <xf numFmtId="40" fontId="23" fillId="0" borderId="1" xfId="0" applyNumberFormat="1" applyFont="1" applyBorder="1" applyAlignment="1">
      <alignment horizontal="right"/>
    </xf>
    <xf numFmtId="0" fontId="23" fillId="38" borderId="0" xfId="0" applyFont="1" applyFill="1" applyAlignment="1">
      <alignment horizontal="left"/>
    </xf>
    <xf numFmtId="40" fontId="29" fillId="38" borderId="1" xfId="0" applyNumberFormat="1" applyFont="1" applyFill="1" applyBorder="1" applyAlignment="1">
      <alignment horizontal="right"/>
    </xf>
    <xf numFmtId="40" fontId="22" fillId="38" borderId="1" xfId="0" applyNumberFormat="1" applyFont="1" applyFill="1" applyBorder="1"/>
    <xf numFmtId="40" fontId="23" fillId="38" borderId="1" xfId="0" applyNumberFormat="1" applyFont="1" applyFill="1" applyBorder="1" applyAlignment="1">
      <alignment horizontal="right"/>
    </xf>
    <xf numFmtId="0" fontId="3" fillId="0" borderId="0" xfId="89" applyFont="1"/>
    <xf numFmtId="0" fontId="0" fillId="0" borderId="0" xfId="0" applyAlignment="1">
      <alignment horizontal="left"/>
    </xf>
    <xf numFmtId="40" fontId="24" fillId="0" borderId="1" xfId="0" applyNumberFormat="1" applyFont="1" applyBorder="1" applyAlignment="1">
      <alignment horizontal="right"/>
    </xf>
    <xf numFmtId="40" fontId="23" fillId="0" borderId="1" xfId="0" applyNumberFormat="1" applyFont="1" applyBorder="1" applyAlignment="1">
      <alignment horizontal="right"/>
    </xf>
    <xf numFmtId="0" fontId="2" fillId="0" borderId="0" xfId="89" applyFont="1"/>
    <xf numFmtId="40" fontId="28" fillId="0" borderId="1" xfId="0" applyNumberFormat="1" applyFont="1" applyBorder="1" applyAlignment="1">
      <alignment horizontal="right"/>
    </xf>
    <xf numFmtId="40" fontId="32" fillId="0" borderId="1" xfId="0" applyNumberFormat="1" applyFont="1" applyBorder="1" applyAlignment="1">
      <alignment horizontal="right"/>
    </xf>
    <xf numFmtId="165" fontId="28" fillId="0" borderId="1" xfId="0" applyNumberFormat="1" applyFont="1" applyBorder="1" applyAlignment="1">
      <alignment horizontal="right"/>
    </xf>
    <xf numFmtId="0" fontId="28" fillId="0" borderId="0" xfId="0" applyFont="1" applyFill="1" applyAlignment="1">
      <alignment horizontal="left"/>
    </xf>
    <xf numFmtId="165" fontId="28" fillId="0" borderId="1" xfId="0" applyNumberFormat="1" applyFont="1" applyFill="1" applyBorder="1" applyAlignment="1"/>
    <xf numFmtId="165" fontId="32" fillId="0" borderId="1" xfId="0" applyNumberFormat="1" applyFont="1" applyFill="1" applyBorder="1" applyAlignment="1"/>
    <xf numFmtId="165" fontId="32" fillId="0" borderId="1" xfId="0" applyNumberFormat="1" applyFont="1" applyFill="1" applyBorder="1"/>
    <xf numFmtId="165" fontId="28" fillId="0" borderId="1" xfId="0" applyNumberFormat="1" applyFont="1" applyFill="1" applyBorder="1" applyAlignment="1">
      <alignment horizontal="right"/>
    </xf>
    <xf numFmtId="165" fontId="32" fillId="0" borderId="0" xfId="0" applyNumberFormat="1" applyFont="1"/>
    <xf numFmtId="0" fontId="32" fillId="0" borderId="0" xfId="0" applyFont="1" applyAlignment="1">
      <alignment horizontal="left"/>
    </xf>
    <xf numFmtId="40" fontId="36" fillId="0" borderId="1" xfId="0" applyNumberFormat="1" applyFont="1" applyBorder="1" applyAlignment="1">
      <alignment horizontal="right"/>
    </xf>
    <xf numFmtId="40" fontId="33" fillId="0" borderId="1" xfId="0" applyNumberFormat="1" applyFont="1" applyBorder="1" applyAlignment="1">
      <alignment horizontal="right"/>
    </xf>
    <xf numFmtId="0" fontId="28" fillId="0" borderId="0" xfId="0" applyFont="1" applyAlignment="1">
      <alignment horizontal="center"/>
    </xf>
    <xf numFmtId="8" fontId="32" fillId="0" borderId="1" xfId="0" applyNumberFormat="1" applyFont="1" applyBorder="1" applyAlignment="1">
      <alignment horizontal="right"/>
    </xf>
    <xf numFmtId="40" fontId="32" fillId="0" borderId="22" xfId="0" applyNumberFormat="1" applyFont="1" applyBorder="1" applyAlignment="1">
      <alignment horizontal="right"/>
    </xf>
    <xf numFmtId="0" fontId="33" fillId="0" borderId="25" xfId="0" applyFont="1" applyBorder="1" applyAlignment="1">
      <alignment horizontal="left"/>
    </xf>
    <xf numFmtId="40" fontId="32" fillId="0" borderId="25" xfId="0" applyNumberFormat="1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40" fontId="32" fillId="0" borderId="0" xfId="0" applyNumberFormat="1" applyFont="1" applyBorder="1" applyAlignment="1">
      <alignment horizontal="right"/>
    </xf>
    <xf numFmtId="40" fontId="33" fillId="0" borderId="0" xfId="0" applyNumberFormat="1" applyFont="1"/>
    <xf numFmtId="0" fontId="33" fillId="0" borderId="0" xfId="0" applyFont="1" applyAlignment="1">
      <alignment horizontal="left"/>
    </xf>
    <xf numFmtId="0" fontId="1" fillId="0" borderId="0" xfId="89" applyFont="1"/>
    <xf numFmtId="40" fontId="24" fillId="0" borderId="1" xfId="0" applyNumberFormat="1" applyFont="1" applyBorder="1" applyAlignment="1">
      <alignment horizontal="right"/>
    </xf>
    <xf numFmtId="40" fontId="23" fillId="0" borderId="1" xfId="0" applyNumberFormat="1" applyFont="1" applyBorder="1" applyAlignment="1">
      <alignment horizontal="right"/>
    </xf>
    <xf numFmtId="40" fontId="28" fillId="0" borderId="1" xfId="0" applyNumberFormat="1" applyFont="1" applyBorder="1" applyAlignment="1">
      <alignment horizontal="center"/>
    </xf>
    <xf numFmtId="40" fontId="32" fillId="0" borderId="0" xfId="0" applyNumberFormat="1" applyFont="1" applyAlignment="1">
      <alignment horizontal="right"/>
    </xf>
    <xf numFmtId="40" fontId="28" fillId="0" borderId="0" xfId="0" applyNumberFormat="1" applyFont="1" applyBorder="1" applyAlignment="1">
      <alignment horizontal="right"/>
    </xf>
    <xf numFmtId="40" fontId="24" fillId="0" borderId="1" xfId="0" applyNumberFormat="1" applyFont="1" applyBorder="1" applyAlignment="1">
      <alignment horizontal="right"/>
    </xf>
    <xf numFmtId="40" fontId="23" fillId="0" borderId="1" xfId="0" applyNumberFormat="1" applyFont="1" applyBorder="1" applyAlignment="1">
      <alignment horizontal="right"/>
    </xf>
    <xf numFmtId="4" fontId="28" fillId="0" borderId="1" xfId="0" applyNumberFormat="1" applyFont="1" applyBorder="1" applyAlignment="1">
      <alignment horizontal="right"/>
    </xf>
    <xf numFmtId="4" fontId="32" fillId="0" borderId="1" xfId="0" applyNumberFormat="1" applyFont="1" applyBorder="1" applyAlignment="1">
      <alignment horizontal="right"/>
    </xf>
    <xf numFmtId="8" fontId="28" fillId="0" borderId="0" xfId="0" applyNumberFormat="1" applyFont="1" applyAlignment="1">
      <alignment horizontal="center"/>
    </xf>
    <xf numFmtId="40" fontId="23" fillId="0" borderId="1" xfId="0" applyNumberFormat="1" applyFont="1" applyBorder="1" applyAlignment="1">
      <alignment horizontal="right"/>
    </xf>
    <xf numFmtId="40" fontId="33" fillId="33" borderId="0" xfId="0" applyNumberFormat="1" applyFont="1" applyFill="1" applyBorder="1" applyAlignment="1">
      <alignment horizontal="right"/>
    </xf>
    <xf numFmtId="40" fontId="24" fillId="0" borderId="1" xfId="0" applyNumberFormat="1" applyFont="1" applyBorder="1" applyAlignment="1">
      <alignment horizontal="right"/>
    </xf>
    <xf numFmtId="8" fontId="36" fillId="0" borderId="1" xfId="0" applyNumberFormat="1" applyFont="1" applyBorder="1"/>
    <xf numFmtId="40" fontId="28" fillId="0" borderId="1" xfId="0" applyNumberFormat="1" applyFont="1" applyBorder="1" applyAlignment="1">
      <alignment horizontal="center"/>
    </xf>
    <xf numFmtId="40" fontId="32" fillId="0" borderId="1" xfId="0" applyNumberFormat="1" applyFont="1" applyBorder="1" applyAlignment="1">
      <alignment horizontal="center"/>
    </xf>
    <xf numFmtId="49" fontId="30" fillId="0" borderId="1" xfId="0" applyNumberFormat="1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164" fontId="2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30" fillId="0" borderId="1" xfId="0" applyNumberFormat="1" applyFont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4" fillId="0" borderId="7" xfId="0" applyFont="1" applyBorder="1" applyAlignment="1">
      <alignment horizontal="right"/>
    </xf>
    <xf numFmtId="0" fontId="24" fillId="0" borderId="2" xfId="0" applyFont="1" applyBorder="1" applyAlignment="1">
      <alignment horizontal="right"/>
    </xf>
    <xf numFmtId="0" fontId="24" fillId="0" borderId="8" xfId="0" applyFont="1" applyBorder="1" applyAlignment="1">
      <alignment horizontal="right"/>
    </xf>
    <xf numFmtId="40" fontId="24" fillId="0" borderId="1" xfId="0" applyNumberFormat="1" applyFont="1" applyBorder="1" applyAlignment="1">
      <alignment horizontal="right"/>
    </xf>
    <xf numFmtId="0" fontId="24" fillId="0" borderId="1" xfId="0" applyFont="1" applyBorder="1" applyAlignment="1">
      <alignment horizontal="right"/>
    </xf>
    <xf numFmtId="0" fontId="23" fillId="0" borderId="1" xfId="0" applyFont="1" applyBorder="1" applyAlignment="1">
      <alignment horizontal="right"/>
    </xf>
    <xf numFmtId="40" fontId="23" fillId="0" borderId="1" xfId="0" applyNumberFormat="1" applyFont="1" applyBorder="1" applyAlignment="1">
      <alignment horizontal="right"/>
    </xf>
    <xf numFmtId="40" fontId="24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164" fontId="36" fillId="0" borderId="1" xfId="0" applyNumberFormat="1" applyFont="1" applyBorder="1" applyAlignment="1">
      <alignment horizontal="center"/>
    </xf>
    <xf numFmtId="164" fontId="30" fillId="0" borderId="7" xfId="0" applyNumberFormat="1" applyFont="1" applyBorder="1" applyAlignment="1">
      <alignment horizontal="center"/>
    </xf>
    <xf numFmtId="164" fontId="30" fillId="0" borderId="2" xfId="0" applyNumberFormat="1" applyFont="1" applyBorder="1" applyAlignment="1">
      <alignment horizontal="center"/>
    </xf>
    <xf numFmtId="164" fontId="30" fillId="0" borderId="8" xfId="0" applyNumberFormat="1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40" fontId="23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164" fontId="23" fillId="0" borderId="1" xfId="0" applyNumberFormat="1" applyFont="1" applyBorder="1" applyAlignment="1">
      <alignment horizontal="center"/>
    </xf>
    <xf numFmtId="0" fontId="24" fillId="0" borderId="7" xfId="0" applyFont="1" applyBorder="1" applyAlignment="1">
      <alignment horizontal="right" wrapText="1"/>
    </xf>
    <xf numFmtId="0" fontId="24" fillId="0" borderId="2" xfId="0" applyFont="1" applyBorder="1" applyAlignment="1">
      <alignment horizontal="right" wrapText="1"/>
    </xf>
    <xf numFmtId="0" fontId="24" fillId="0" borderId="8" xfId="0" applyFont="1" applyBorder="1" applyAlignment="1">
      <alignment horizontal="right" wrapText="1"/>
    </xf>
    <xf numFmtId="49" fontId="24" fillId="0" borderId="18" xfId="0" applyNumberFormat="1" applyFont="1" applyBorder="1" applyAlignment="1">
      <alignment horizontal="center"/>
    </xf>
    <xf numFmtId="0" fontId="23" fillId="0" borderId="1" xfId="0" applyFont="1" applyBorder="1" applyAlignment="1">
      <alignment horizontal="right" shrinkToFit="1"/>
    </xf>
    <xf numFmtId="49" fontId="32" fillId="0" borderId="1" xfId="0" applyNumberFormat="1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" xfId="0" applyFont="1" applyBorder="1" applyAlignment="1">
      <alignment horizontal="right"/>
    </xf>
    <xf numFmtId="0" fontId="32" fillId="0" borderId="7" xfId="0" applyFont="1" applyBorder="1" applyAlignment="1">
      <alignment horizontal="right"/>
    </xf>
    <xf numFmtId="0" fontId="32" fillId="0" borderId="2" xfId="0" applyFont="1" applyBorder="1" applyAlignment="1">
      <alignment horizontal="right"/>
    </xf>
    <xf numFmtId="0" fontId="32" fillId="0" borderId="8" xfId="0" applyFont="1" applyBorder="1" applyAlignment="1">
      <alignment horizontal="right"/>
    </xf>
    <xf numFmtId="40" fontId="28" fillId="0" borderId="1" xfId="0" applyNumberFormat="1" applyFont="1" applyBorder="1" applyAlignment="1">
      <alignment horizontal="center"/>
    </xf>
    <xf numFmtId="40" fontId="32" fillId="0" borderId="1" xfId="0" applyNumberFormat="1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165" fontId="32" fillId="0" borderId="1" xfId="0" applyNumberFormat="1" applyFont="1" applyFill="1" applyBorder="1" applyAlignment="1">
      <alignment horizontal="center"/>
    </xf>
    <xf numFmtId="165" fontId="32" fillId="0" borderId="1" xfId="0" applyNumberFormat="1" applyFont="1" applyBorder="1" applyAlignment="1">
      <alignment horizontal="center"/>
    </xf>
    <xf numFmtId="8" fontId="32" fillId="0" borderId="1" xfId="0" applyNumberFormat="1" applyFont="1" applyBorder="1" applyAlignment="1">
      <alignment horizontal="center"/>
    </xf>
    <xf numFmtId="49" fontId="32" fillId="0" borderId="18" xfId="0" applyNumberFormat="1" applyFont="1" applyBorder="1" applyAlignment="1">
      <alignment horizontal="center"/>
    </xf>
    <xf numFmtId="8" fontId="32" fillId="0" borderId="18" xfId="0" applyNumberFormat="1" applyFont="1" applyBorder="1" applyAlignment="1">
      <alignment horizontal="center"/>
    </xf>
    <xf numFmtId="4" fontId="32" fillId="0" borderId="1" xfId="0" applyNumberFormat="1" applyFont="1" applyBorder="1" applyAlignment="1">
      <alignment horizontal="right"/>
    </xf>
    <xf numFmtId="49" fontId="57" fillId="0" borderId="1" xfId="0" applyNumberFormat="1" applyFont="1" applyBorder="1" applyAlignment="1">
      <alignment horizontal="center"/>
    </xf>
    <xf numFmtId="4" fontId="32" fillId="0" borderId="1" xfId="0" applyNumberFormat="1" applyFont="1" applyBorder="1" applyAlignment="1">
      <alignment horizontal="center"/>
    </xf>
    <xf numFmtId="4" fontId="57" fillId="0" borderId="1" xfId="0" applyNumberFormat="1" applyFont="1" applyBorder="1" applyAlignment="1">
      <alignment horizontal="center"/>
    </xf>
    <xf numFmtId="49" fontId="33" fillId="0" borderId="1" xfId="0" applyNumberFormat="1" applyFont="1" applyBorder="1" applyAlignment="1">
      <alignment horizontal="center"/>
    </xf>
  </cellXfs>
  <cellStyles count="287">
    <cellStyle name="20% - Accent1" xfId="1" builtinId="30" customBuiltin="1"/>
    <cellStyle name="20% - Accent1 2" xfId="59"/>
    <cellStyle name="20% - Accent1 2 2" xfId="119"/>
    <cellStyle name="20% - Accent1 2 2 2" xfId="241"/>
    <cellStyle name="20% - Accent1 2 3" xfId="181"/>
    <cellStyle name="20% - Accent1 3" xfId="77"/>
    <cellStyle name="20% - Accent1 3 2" xfId="137"/>
    <cellStyle name="20% - Accent1 3 2 2" xfId="259"/>
    <cellStyle name="20% - Accent1 3 3" xfId="199"/>
    <cellStyle name="20% - Accent1 4" xfId="91"/>
    <cellStyle name="20% - Accent1 4 2" xfId="151"/>
    <cellStyle name="20% - Accent1 4 2 2" xfId="273"/>
    <cellStyle name="20% - Accent1 4 3" xfId="213"/>
    <cellStyle name="20% - Accent1 5" xfId="103"/>
    <cellStyle name="20% - Accent1 5 2" xfId="225"/>
    <cellStyle name="20% - Accent1 6" xfId="165"/>
    <cellStyle name="20% - Accent2" xfId="2" builtinId="34" customBuiltin="1"/>
    <cellStyle name="20% - Accent2 2" xfId="60"/>
    <cellStyle name="20% - Accent2 2 2" xfId="120"/>
    <cellStyle name="20% - Accent2 2 2 2" xfId="242"/>
    <cellStyle name="20% - Accent2 2 3" xfId="182"/>
    <cellStyle name="20% - Accent2 3" xfId="79"/>
    <cellStyle name="20% - Accent2 3 2" xfId="139"/>
    <cellStyle name="20% - Accent2 3 2 2" xfId="261"/>
    <cellStyle name="20% - Accent2 3 3" xfId="201"/>
    <cellStyle name="20% - Accent2 4" xfId="93"/>
    <cellStyle name="20% - Accent2 4 2" xfId="153"/>
    <cellStyle name="20% - Accent2 4 2 2" xfId="275"/>
    <cellStyle name="20% - Accent2 4 3" xfId="215"/>
    <cellStyle name="20% - Accent2 5" xfId="104"/>
    <cellStyle name="20% - Accent2 5 2" xfId="226"/>
    <cellStyle name="20% - Accent2 6" xfId="166"/>
    <cellStyle name="20% - Accent3" xfId="3" builtinId="38" customBuiltin="1"/>
    <cellStyle name="20% - Accent3 2" xfId="61"/>
    <cellStyle name="20% - Accent3 2 2" xfId="121"/>
    <cellStyle name="20% - Accent3 2 2 2" xfId="243"/>
    <cellStyle name="20% - Accent3 2 3" xfId="183"/>
    <cellStyle name="20% - Accent3 3" xfId="81"/>
    <cellStyle name="20% - Accent3 3 2" xfId="141"/>
    <cellStyle name="20% - Accent3 3 2 2" xfId="263"/>
    <cellStyle name="20% - Accent3 3 3" xfId="203"/>
    <cellStyle name="20% - Accent3 4" xfId="95"/>
    <cellStyle name="20% - Accent3 4 2" xfId="155"/>
    <cellStyle name="20% - Accent3 4 2 2" xfId="277"/>
    <cellStyle name="20% - Accent3 4 3" xfId="217"/>
    <cellStyle name="20% - Accent3 5" xfId="105"/>
    <cellStyle name="20% - Accent3 5 2" xfId="227"/>
    <cellStyle name="20% - Accent3 6" xfId="167"/>
    <cellStyle name="20% - Accent4" xfId="4" builtinId="42" customBuiltin="1"/>
    <cellStyle name="20% - Accent4 2" xfId="62"/>
    <cellStyle name="20% - Accent4 2 2" xfId="122"/>
    <cellStyle name="20% - Accent4 2 2 2" xfId="244"/>
    <cellStyle name="20% - Accent4 2 3" xfId="184"/>
    <cellStyle name="20% - Accent4 3" xfId="83"/>
    <cellStyle name="20% - Accent4 3 2" xfId="143"/>
    <cellStyle name="20% - Accent4 3 2 2" xfId="265"/>
    <cellStyle name="20% - Accent4 3 3" xfId="205"/>
    <cellStyle name="20% - Accent4 4" xfId="97"/>
    <cellStyle name="20% - Accent4 4 2" xfId="157"/>
    <cellStyle name="20% - Accent4 4 2 2" xfId="279"/>
    <cellStyle name="20% - Accent4 4 3" xfId="219"/>
    <cellStyle name="20% - Accent4 5" xfId="106"/>
    <cellStyle name="20% - Accent4 5 2" xfId="228"/>
    <cellStyle name="20% - Accent4 6" xfId="168"/>
    <cellStyle name="20% - Accent5" xfId="5" builtinId="46" customBuiltin="1"/>
    <cellStyle name="20% - Accent5 2" xfId="63"/>
    <cellStyle name="20% - Accent5 2 2" xfId="123"/>
    <cellStyle name="20% - Accent5 2 2 2" xfId="245"/>
    <cellStyle name="20% - Accent5 2 3" xfId="185"/>
    <cellStyle name="20% - Accent5 3" xfId="85"/>
    <cellStyle name="20% - Accent5 3 2" xfId="145"/>
    <cellStyle name="20% - Accent5 3 2 2" xfId="267"/>
    <cellStyle name="20% - Accent5 3 3" xfId="207"/>
    <cellStyle name="20% - Accent5 4" xfId="99"/>
    <cellStyle name="20% - Accent5 4 2" xfId="159"/>
    <cellStyle name="20% - Accent5 4 2 2" xfId="281"/>
    <cellStyle name="20% - Accent5 4 3" xfId="221"/>
    <cellStyle name="20% - Accent5 5" xfId="107"/>
    <cellStyle name="20% - Accent5 5 2" xfId="229"/>
    <cellStyle name="20% - Accent5 6" xfId="169"/>
    <cellStyle name="20% - Accent6" xfId="6" builtinId="50" customBuiltin="1"/>
    <cellStyle name="20% - Accent6 2" xfId="64"/>
    <cellStyle name="20% - Accent6 2 2" xfId="124"/>
    <cellStyle name="20% - Accent6 2 2 2" xfId="246"/>
    <cellStyle name="20% - Accent6 2 3" xfId="186"/>
    <cellStyle name="20% - Accent6 3" xfId="87"/>
    <cellStyle name="20% - Accent6 3 2" xfId="147"/>
    <cellStyle name="20% - Accent6 3 2 2" xfId="269"/>
    <cellStyle name="20% - Accent6 3 3" xfId="209"/>
    <cellStyle name="20% - Accent6 4" xfId="101"/>
    <cellStyle name="20% - Accent6 4 2" xfId="161"/>
    <cellStyle name="20% - Accent6 4 2 2" xfId="283"/>
    <cellStyle name="20% - Accent6 4 3" xfId="223"/>
    <cellStyle name="20% - Accent6 5" xfId="108"/>
    <cellStyle name="20% - Accent6 5 2" xfId="230"/>
    <cellStyle name="20% - Accent6 6" xfId="170"/>
    <cellStyle name="40% - Accent1" xfId="7" builtinId="31" customBuiltin="1"/>
    <cellStyle name="40% - Accent1 2" xfId="65"/>
    <cellStyle name="40% - Accent1 2 2" xfId="125"/>
    <cellStyle name="40% - Accent1 2 2 2" xfId="247"/>
    <cellStyle name="40% - Accent1 2 3" xfId="187"/>
    <cellStyle name="40% - Accent1 3" xfId="78"/>
    <cellStyle name="40% - Accent1 3 2" xfId="138"/>
    <cellStyle name="40% - Accent1 3 2 2" xfId="260"/>
    <cellStyle name="40% - Accent1 3 3" xfId="200"/>
    <cellStyle name="40% - Accent1 4" xfId="92"/>
    <cellStyle name="40% - Accent1 4 2" xfId="152"/>
    <cellStyle name="40% - Accent1 4 2 2" xfId="274"/>
    <cellStyle name="40% - Accent1 4 3" xfId="214"/>
    <cellStyle name="40% - Accent1 5" xfId="109"/>
    <cellStyle name="40% - Accent1 5 2" xfId="231"/>
    <cellStyle name="40% - Accent1 6" xfId="171"/>
    <cellStyle name="40% - Accent2" xfId="8" builtinId="35" customBuiltin="1"/>
    <cellStyle name="40% - Accent2 2" xfId="66"/>
    <cellStyle name="40% - Accent2 2 2" xfId="126"/>
    <cellStyle name="40% - Accent2 2 2 2" xfId="248"/>
    <cellStyle name="40% - Accent2 2 3" xfId="188"/>
    <cellStyle name="40% - Accent2 3" xfId="80"/>
    <cellStyle name="40% - Accent2 3 2" xfId="140"/>
    <cellStyle name="40% - Accent2 3 2 2" xfId="262"/>
    <cellStyle name="40% - Accent2 3 3" xfId="202"/>
    <cellStyle name="40% - Accent2 4" xfId="94"/>
    <cellStyle name="40% - Accent2 4 2" xfId="154"/>
    <cellStyle name="40% - Accent2 4 2 2" xfId="276"/>
    <cellStyle name="40% - Accent2 4 3" xfId="216"/>
    <cellStyle name="40% - Accent2 5" xfId="110"/>
    <cellStyle name="40% - Accent2 5 2" xfId="232"/>
    <cellStyle name="40% - Accent2 6" xfId="172"/>
    <cellStyle name="40% - Accent3" xfId="9" builtinId="39" customBuiltin="1"/>
    <cellStyle name="40% - Accent3 2" xfId="67"/>
    <cellStyle name="40% - Accent3 2 2" xfId="127"/>
    <cellStyle name="40% - Accent3 2 2 2" xfId="249"/>
    <cellStyle name="40% - Accent3 2 3" xfId="189"/>
    <cellStyle name="40% - Accent3 3" xfId="82"/>
    <cellStyle name="40% - Accent3 3 2" xfId="142"/>
    <cellStyle name="40% - Accent3 3 2 2" xfId="264"/>
    <cellStyle name="40% - Accent3 3 3" xfId="204"/>
    <cellStyle name="40% - Accent3 4" xfId="96"/>
    <cellStyle name="40% - Accent3 4 2" xfId="156"/>
    <cellStyle name="40% - Accent3 4 2 2" xfId="278"/>
    <cellStyle name="40% - Accent3 4 3" xfId="218"/>
    <cellStyle name="40% - Accent3 5" xfId="111"/>
    <cellStyle name="40% - Accent3 5 2" xfId="233"/>
    <cellStyle name="40% - Accent3 6" xfId="173"/>
    <cellStyle name="40% - Accent4" xfId="10" builtinId="43" customBuiltin="1"/>
    <cellStyle name="40% - Accent4 2" xfId="68"/>
    <cellStyle name="40% - Accent4 2 2" xfId="128"/>
    <cellStyle name="40% - Accent4 2 2 2" xfId="250"/>
    <cellStyle name="40% - Accent4 2 3" xfId="190"/>
    <cellStyle name="40% - Accent4 3" xfId="84"/>
    <cellStyle name="40% - Accent4 3 2" xfId="144"/>
    <cellStyle name="40% - Accent4 3 2 2" xfId="266"/>
    <cellStyle name="40% - Accent4 3 3" xfId="206"/>
    <cellStyle name="40% - Accent4 4" xfId="98"/>
    <cellStyle name="40% - Accent4 4 2" xfId="158"/>
    <cellStyle name="40% - Accent4 4 2 2" xfId="280"/>
    <cellStyle name="40% - Accent4 4 3" xfId="220"/>
    <cellStyle name="40% - Accent4 5" xfId="112"/>
    <cellStyle name="40% - Accent4 5 2" xfId="234"/>
    <cellStyle name="40% - Accent4 6" xfId="174"/>
    <cellStyle name="40% - Accent5" xfId="11" builtinId="47" customBuiltin="1"/>
    <cellStyle name="40% - Accent5 2" xfId="69"/>
    <cellStyle name="40% - Accent5 2 2" xfId="129"/>
    <cellStyle name="40% - Accent5 2 2 2" xfId="251"/>
    <cellStyle name="40% - Accent5 2 3" xfId="191"/>
    <cellStyle name="40% - Accent5 3" xfId="86"/>
    <cellStyle name="40% - Accent5 3 2" xfId="146"/>
    <cellStyle name="40% - Accent5 3 2 2" xfId="268"/>
    <cellStyle name="40% - Accent5 3 3" xfId="208"/>
    <cellStyle name="40% - Accent5 4" xfId="100"/>
    <cellStyle name="40% - Accent5 4 2" xfId="160"/>
    <cellStyle name="40% - Accent5 4 2 2" xfId="282"/>
    <cellStyle name="40% - Accent5 4 3" xfId="222"/>
    <cellStyle name="40% - Accent5 5" xfId="113"/>
    <cellStyle name="40% - Accent5 5 2" xfId="235"/>
    <cellStyle name="40% - Accent5 6" xfId="175"/>
    <cellStyle name="40% - Accent6" xfId="12" builtinId="51" customBuiltin="1"/>
    <cellStyle name="40% - Accent6 2" xfId="70"/>
    <cellStyle name="40% - Accent6 2 2" xfId="130"/>
    <cellStyle name="40% - Accent6 2 2 2" xfId="252"/>
    <cellStyle name="40% - Accent6 2 3" xfId="192"/>
    <cellStyle name="40% - Accent6 3" xfId="88"/>
    <cellStyle name="40% - Accent6 3 2" xfId="148"/>
    <cellStyle name="40% - Accent6 3 2 2" xfId="270"/>
    <cellStyle name="40% - Accent6 3 3" xfId="210"/>
    <cellStyle name="40% - Accent6 4" xfId="102"/>
    <cellStyle name="40% - Accent6 4 2" xfId="162"/>
    <cellStyle name="40% - Accent6 4 2 2" xfId="284"/>
    <cellStyle name="40% - Accent6 4 3" xfId="224"/>
    <cellStyle name="40% - Accent6 5" xfId="114"/>
    <cellStyle name="40% - Accent6 5 2" xfId="236"/>
    <cellStyle name="40% - Accent6 6" xfId="176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 2" xfId="28"/>
    <cellStyle name="Currency 2 2" xfId="29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10" xfId="164"/>
    <cellStyle name="Normal 10 2" xfId="286"/>
    <cellStyle name="Normal 2" xfId="58"/>
    <cellStyle name="Normal 2 2" xfId="39"/>
    <cellStyle name="Normal 2 2 2" xfId="40"/>
    <cellStyle name="Normal 2 3" xfId="41"/>
    <cellStyle name="Normal 2 3 2" xfId="42"/>
    <cellStyle name="Normal 2 4" xfId="43"/>
    <cellStyle name="Normal 2 4 2" xfId="71"/>
    <cellStyle name="Normal 2 4 2 2" xfId="131"/>
    <cellStyle name="Normal 2 4 2 2 2" xfId="253"/>
    <cellStyle name="Normal 2 4 2 3" xfId="193"/>
    <cellStyle name="Normal 2 4 3" xfId="115"/>
    <cellStyle name="Normal 2 4 3 2" xfId="237"/>
    <cellStyle name="Normal 2 4 4" xfId="177"/>
    <cellStyle name="Normal 2 5" xfId="74"/>
    <cellStyle name="Normal 2 5 2" xfId="134"/>
    <cellStyle name="Normal 2 5 2 2" xfId="256"/>
    <cellStyle name="Normal 2 5 3" xfId="196"/>
    <cellStyle name="Normal 2 6" xfId="163"/>
    <cellStyle name="Normal 2 6 2" xfId="285"/>
    <cellStyle name="Normal 2 7" xfId="118"/>
    <cellStyle name="Normal 2 7 2" xfId="240"/>
    <cellStyle name="Normal 2 8" xfId="180"/>
    <cellStyle name="Normal 3" xfId="44"/>
    <cellStyle name="Normal 3 2" xfId="45"/>
    <cellStyle name="Normal 4" xfId="46"/>
    <cellStyle name="Normal 4 2" xfId="47"/>
    <cellStyle name="Normal 5" xfId="48"/>
    <cellStyle name="Normal 5 2" xfId="72"/>
    <cellStyle name="Normal 5 2 2" xfId="132"/>
    <cellStyle name="Normal 5 2 2 2" xfId="254"/>
    <cellStyle name="Normal 5 2 3" xfId="194"/>
    <cellStyle name="Normal 5 3" xfId="116"/>
    <cellStyle name="Normal 5 3 2" xfId="238"/>
    <cellStyle name="Normal 5 4" xfId="178"/>
    <cellStyle name="Normal 6" xfId="49"/>
    <cellStyle name="Normal 6 2" xfId="50"/>
    <cellStyle name="Normal 7" xfId="51"/>
    <cellStyle name="Normal 7 2" xfId="52"/>
    <cellStyle name="Normal 8" xfId="75"/>
    <cellStyle name="Normal 8 2" xfId="135"/>
    <cellStyle name="Normal 8 2 2" xfId="257"/>
    <cellStyle name="Normal 8 3" xfId="197"/>
    <cellStyle name="Normal 9" xfId="89"/>
    <cellStyle name="Normal 9 2" xfId="149"/>
    <cellStyle name="Normal 9 2 2" xfId="271"/>
    <cellStyle name="Normal 9 3" xfId="211"/>
    <cellStyle name="Note 2" xfId="53"/>
    <cellStyle name="Note 2 2" xfId="73"/>
    <cellStyle name="Note 2 2 2" xfId="133"/>
    <cellStyle name="Note 2 2 2 2" xfId="255"/>
    <cellStyle name="Note 2 2 3" xfId="195"/>
    <cellStyle name="Note 2 3" xfId="117"/>
    <cellStyle name="Note 2 3 2" xfId="239"/>
    <cellStyle name="Note 2 4" xfId="179"/>
    <cellStyle name="Note 3" xfId="76"/>
    <cellStyle name="Note 3 2" xfId="136"/>
    <cellStyle name="Note 3 2 2" xfId="258"/>
    <cellStyle name="Note 3 3" xfId="198"/>
    <cellStyle name="Note 4" xfId="90"/>
    <cellStyle name="Note 4 2" xfId="150"/>
    <cellStyle name="Note 4 2 2" xfId="272"/>
    <cellStyle name="Note 4 3" xfId="212"/>
    <cellStyle name="Output" xfId="54" builtinId="21" customBuiltin="1"/>
    <cellStyle name="Title" xfId="55" builtinId="15" customBuiltin="1"/>
    <cellStyle name="Total" xfId="56" builtinId="25" customBuiltin="1"/>
    <cellStyle name="Warning Text" xfId="5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topLeftCell="A28" workbookViewId="0">
      <selection activeCell="G34" sqref="G34"/>
    </sheetView>
  </sheetViews>
  <sheetFormatPr defaultColWidth="9.140625" defaultRowHeight="12.75" x14ac:dyDescent="0.2"/>
  <cols>
    <col min="1" max="1" width="36.7109375" style="74" customWidth="1"/>
    <col min="2" max="2" width="12.5703125" style="242" bestFit="1" customWidth="1"/>
    <col min="3" max="3" width="15.7109375" style="250" bestFit="1" customWidth="1"/>
    <col min="4" max="4" width="15" style="250" bestFit="1" customWidth="1"/>
    <col min="5" max="5" width="9.140625" style="74"/>
    <col min="6" max="6" width="11.42578125" style="74" bestFit="1" customWidth="1"/>
    <col min="7" max="16384" width="9.140625" style="74"/>
  </cols>
  <sheetData>
    <row r="1" spans="1:4" ht="18.75" x14ac:dyDescent="0.3">
      <c r="A1" s="235" t="s">
        <v>156</v>
      </c>
      <c r="B1" s="287" t="s">
        <v>334</v>
      </c>
      <c r="C1" s="249" t="s">
        <v>334</v>
      </c>
      <c r="D1" s="249" t="s">
        <v>307</v>
      </c>
    </row>
    <row r="2" spans="1:4" ht="18.75" x14ac:dyDescent="0.3">
      <c r="A2" s="235"/>
      <c r="B2" s="287" t="s">
        <v>313</v>
      </c>
      <c r="C2" s="249" t="s">
        <v>286</v>
      </c>
      <c r="D2" s="249" t="s">
        <v>286</v>
      </c>
    </row>
    <row r="3" spans="1:4" x14ac:dyDescent="0.2">
      <c r="A3" s="75" t="s">
        <v>157</v>
      </c>
      <c r="B3" s="242">
        <v>4884134</v>
      </c>
      <c r="C3" s="250">
        <f>Budget!N3</f>
        <v>3162392</v>
      </c>
      <c r="D3" s="251">
        <v>2570783.9500000002</v>
      </c>
    </row>
    <row r="4" spans="1:4" x14ac:dyDescent="0.2">
      <c r="A4" s="75" t="s">
        <v>314</v>
      </c>
      <c r="B4" s="242">
        <v>0</v>
      </c>
      <c r="C4" s="250">
        <f>Budget!N8</f>
        <v>1033484</v>
      </c>
      <c r="D4" s="251">
        <v>1167609</v>
      </c>
    </row>
    <row r="5" spans="1:4" ht="15" x14ac:dyDescent="0.25">
      <c r="A5" s="236" t="s">
        <v>185</v>
      </c>
      <c r="B5" s="288">
        <f>SUM(B3:B4)</f>
        <v>4884134</v>
      </c>
      <c r="C5" s="252">
        <f>SUM(C3:C4)</f>
        <v>4195876</v>
      </c>
      <c r="D5" s="253">
        <f>SUM(D3:D4)</f>
        <v>3738392.95</v>
      </c>
    </row>
    <row r="6" spans="1:4" x14ac:dyDescent="0.2">
      <c r="A6" s="75" t="s">
        <v>308</v>
      </c>
      <c r="B6" s="242">
        <v>0</v>
      </c>
      <c r="C6" s="250">
        <v>0</v>
      </c>
      <c r="D6" s="251">
        <v>0</v>
      </c>
    </row>
    <row r="7" spans="1:4" x14ac:dyDescent="0.2">
      <c r="A7" s="75" t="s">
        <v>316</v>
      </c>
      <c r="B7" s="242">
        <v>0</v>
      </c>
      <c r="C7" s="250">
        <f>Budget!N6</f>
        <v>21857</v>
      </c>
      <c r="D7" s="254">
        <v>30000</v>
      </c>
    </row>
    <row r="8" spans="1:4" x14ac:dyDescent="0.2">
      <c r="A8" s="75" t="s">
        <v>317</v>
      </c>
      <c r="B8" s="242">
        <v>0</v>
      </c>
      <c r="C8" s="250">
        <f>Budget!N7</f>
        <v>0</v>
      </c>
      <c r="D8" s="254">
        <v>10000</v>
      </c>
    </row>
    <row r="9" spans="1:4" x14ac:dyDescent="0.2">
      <c r="A9" s="75" t="s">
        <v>290</v>
      </c>
      <c r="B9" s="242">
        <v>0</v>
      </c>
      <c r="C9" s="250">
        <f>Budget!N21</f>
        <v>53700.04</v>
      </c>
      <c r="D9" s="254">
        <v>0</v>
      </c>
    </row>
    <row r="10" spans="1:4" x14ac:dyDescent="0.2">
      <c r="A10" s="230" t="s">
        <v>300</v>
      </c>
      <c r="B10" s="289">
        <f>SUM(B6:B9)</f>
        <v>0</v>
      </c>
      <c r="C10" s="255">
        <f>SUM(C6:C9)</f>
        <v>75557.040000000008</v>
      </c>
      <c r="D10" s="256">
        <f>SUM(D6:D9)</f>
        <v>40000</v>
      </c>
    </row>
    <row r="11" spans="1:4" ht="15" x14ac:dyDescent="0.25">
      <c r="A11" s="237" t="s">
        <v>195</v>
      </c>
      <c r="B11" s="288">
        <f>B10+B5</f>
        <v>4884134</v>
      </c>
      <c r="C11" s="252">
        <f>C10+C5</f>
        <v>4271433.04</v>
      </c>
      <c r="D11" s="252">
        <f>D10+D5</f>
        <v>3778392.95</v>
      </c>
    </row>
    <row r="12" spans="1:4" x14ac:dyDescent="0.2">
      <c r="A12" s="153" t="s">
        <v>187</v>
      </c>
      <c r="D12" s="251"/>
    </row>
    <row r="13" spans="1:4" x14ac:dyDescent="0.2">
      <c r="A13" s="75" t="s">
        <v>326</v>
      </c>
      <c r="B13" s="242">
        <v>0</v>
      </c>
      <c r="C13" s="250">
        <f>Budget!N9+Budget!N10+Budget!N11+Budget!N12+Budget!N13+Budget!N14+Budget!N15</f>
        <v>142589</v>
      </c>
      <c r="D13" s="251">
        <v>67908</v>
      </c>
    </row>
    <row r="14" spans="1:4" x14ac:dyDescent="0.2">
      <c r="A14" s="104" t="s">
        <v>333</v>
      </c>
      <c r="B14" s="242">
        <v>0</v>
      </c>
      <c r="C14" s="250">
        <f>Budget!N14</f>
        <v>0</v>
      </c>
      <c r="D14" s="251">
        <v>59072</v>
      </c>
    </row>
    <row r="15" spans="1:4" x14ac:dyDescent="0.2">
      <c r="A15" s="75" t="s">
        <v>263</v>
      </c>
      <c r="B15" s="242">
        <v>0</v>
      </c>
      <c r="C15" s="250">
        <f>Budget!N4</f>
        <v>453498</v>
      </c>
      <c r="D15" s="251">
        <v>337725</v>
      </c>
    </row>
    <row r="16" spans="1:4" ht="15" x14ac:dyDescent="0.25">
      <c r="A16" s="237" t="s">
        <v>188</v>
      </c>
      <c r="B16" s="290">
        <f>SUM(B13:B15)</f>
        <v>0</v>
      </c>
      <c r="C16" s="258">
        <f>SUM(C13:C15)</f>
        <v>596087</v>
      </c>
      <c r="D16" s="257">
        <f>SUM(D13:D15)</f>
        <v>464705</v>
      </c>
    </row>
    <row r="17" spans="1:6" x14ac:dyDescent="0.2">
      <c r="A17" s="153" t="s">
        <v>189</v>
      </c>
      <c r="D17" s="251"/>
    </row>
    <row r="18" spans="1:6" x14ac:dyDescent="0.2">
      <c r="A18" s="75" t="s">
        <v>347</v>
      </c>
      <c r="B18" s="242">
        <v>0</v>
      </c>
      <c r="C18" s="250">
        <f>Budget!N24</f>
        <v>16613.88</v>
      </c>
      <c r="D18" s="251">
        <v>0</v>
      </c>
    </row>
    <row r="19" spans="1:6" x14ac:dyDescent="0.2">
      <c r="A19" s="75" t="s">
        <v>190</v>
      </c>
      <c r="B19" s="242">
        <v>0</v>
      </c>
      <c r="C19" s="250">
        <v>0</v>
      </c>
      <c r="D19" s="251">
        <v>0</v>
      </c>
    </row>
    <row r="20" spans="1:6" ht="12.75" customHeight="1" x14ac:dyDescent="0.2">
      <c r="A20" s="75" t="s">
        <v>289</v>
      </c>
      <c r="B20" s="242">
        <f>Budget!N17</f>
        <v>0</v>
      </c>
      <c r="C20" s="250">
        <v>0</v>
      </c>
      <c r="D20" s="251">
        <v>0</v>
      </c>
    </row>
    <row r="21" spans="1:6" ht="12.75" customHeight="1" x14ac:dyDescent="0.2">
      <c r="A21" s="75" t="s">
        <v>264</v>
      </c>
      <c r="B21" s="242">
        <f>Budget!N16</f>
        <v>0</v>
      </c>
      <c r="C21" s="250">
        <v>0</v>
      </c>
      <c r="D21" s="251">
        <v>0</v>
      </c>
    </row>
    <row r="22" spans="1:6" x14ac:dyDescent="0.2">
      <c r="A22" s="231" t="s">
        <v>191</v>
      </c>
      <c r="B22" s="291">
        <f>SUM(B18:B21)</f>
        <v>0</v>
      </c>
      <c r="C22" s="259">
        <f>SUM(C18:C21)</f>
        <v>16613.88</v>
      </c>
      <c r="D22" s="260">
        <v>0</v>
      </c>
    </row>
    <row r="23" spans="1:6" ht="15" x14ac:dyDescent="0.25">
      <c r="A23" s="238" t="s">
        <v>183</v>
      </c>
      <c r="B23" s="292">
        <f>B5+B10+B16+B22</f>
        <v>4884134</v>
      </c>
      <c r="C23" s="257">
        <f>C5+C10+C16+C22</f>
        <v>4884133.92</v>
      </c>
      <c r="D23" s="257">
        <f>D5+D10+D16+D22</f>
        <v>4243097.95</v>
      </c>
    </row>
    <row r="24" spans="1:6" x14ac:dyDescent="0.2">
      <c r="A24" s="154" t="s">
        <v>192</v>
      </c>
      <c r="D24" s="261"/>
    </row>
    <row r="25" spans="1:6" x14ac:dyDescent="0.2">
      <c r="A25" s="75" t="s">
        <v>179</v>
      </c>
      <c r="B25" s="242">
        <v>0</v>
      </c>
      <c r="C25" s="250">
        <v>0</v>
      </c>
      <c r="D25" s="251">
        <v>209806.79</v>
      </c>
    </row>
    <row r="26" spans="1:6" x14ac:dyDescent="0.2">
      <c r="A26" s="75" t="s">
        <v>278</v>
      </c>
      <c r="B26" s="242">
        <v>0</v>
      </c>
      <c r="C26" s="250">
        <v>0</v>
      </c>
      <c r="D26" s="251">
        <v>-199161.83</v>
      </c>
    </row>
    <row r="27" spans="1:6" x14ac:dyDescent="0.2">
      <c r="A27" s="75" t="s">
        <v>245</v>
      </c>
      <c r="B27" s="242">
        <v>0</v>
      </c>
      <c r="C27" s="250">
        <v>0</v>
      </c>
      <c r="D27" s="251">
        <v>9916.25</v>
      </c>
    </row>
    <row r="28" spans="1:6" x14ac:dyDescent="0.2">
      <c r="A28" s="75" t="s">
        <v>265</v>
      </c>
      <c r="B28" s="242">
        <v>0</v>
      </c>
      <c r="C28" s="250">
        <v>0</v>
      </c>
      <c r="D28" s="251">
        <v>45305.11</v>
      </c>
    </row>
    <row r="29" spans="1:6" x14ac:dyDescent="0.2">
      <c r="A29" s="75" t="s">
        <v>279</v>
      </c>
      <c r="B29" s="242">
        <f>Budget!N18</f>
        <v>0</v>
      </c>
      <c r="C29" s="250">
        <v>0</v>
      </c>
      <c r="D29" s="251">
        <v>1896.3</v>
      </c>
    </row>
    <row r="30" spans="1:6" x14ac:dyDescent="0.2">
      <c r="A30" s="205" t="s">
        <v>298</v>
      </c>
      <c r="B30" s="242">
        <v>0</v>
      </c>
      <c r="C30" s="250">
        <f>Budget!N44</f>
        <v>297411.73</v>
      </c>
      <c r="D30" s="262">
        <v>200598.61</v>
      </c>
    </row>
    <row r="31" spans="1:6" ht="15.75" x14ac:dyDescent="0.25">
      <c r="A31" s="239" t="s">
        <v>275</v>
      </c>
      <c r="B31" s="293">
        <f>SUM(B25:B30)</f>
        <v>0</v>
      </c>
      <c r="C31" s="263">
        <f>SUM(C25:C30)</f>
        <v>297411.73</v>
      </c>
      <c r="D31" s="263">
        <f>SUM(D25:D30)</f>
        <v>268361.23</v>
      </c>
    </row>
    <row r="32" spans="1:6" ht="15.75" x14ac:dyDescent="0.25">
      <c r="A32" s="239" t="s">
        <v>138</v>
      </c>
      <c r="B32" s="294">
        <f>B31+B23</f>
        <v>4884134</v>
      </c>
      <c r="C32" s="264">
        <f>C31+C23</f>
        <v>5181545.6500000004</v>
      </c>
      <c r="D32" s="264">
        <f>D31+D23</f>
        <v>4511459.18</v>
      </c>
      <c r="F32" s="250"/>
    </row>
    <row r="33" spans="1:6" x14ac:dyDescent="0.2">
      <c r="A33" s="121"/>
    </row>
    <row r="34" spans="1:6" ht="25.5" x14ac:dyDescent="0.2">
      <c r="A34" s="80" t="s">
        <v>158</v>
      </c>
      <c r="B34" s="295" t="s">
        <v>337</v>
      </c>
      <c r="C34" s="265" t="s">
        <v>338</v>
      </c>
      <c r="D34" s="265" t="s">
        <v>318</v>
      </c>
    </row>
    <row r="35" spans="1:6" x14ac:dyDescent="0.2">
      <c r="A35" s="76" t="s">
        <v>159</v>
      </c>
      <c r="B35" s="296"/>
      <c r="C35" s="266"/>
      <c r="D35" s="267"/>
    </row>
    <row r="36" spans="1:6" x14ac:dyDescent="0.2">
      <c r="A36" s="77" t="s">
        <v>160</v>
      </c>
      <c r="B36" s="297">
        <v>3248392.76</v>
      </c>
      <c r="C36" s="268">
        <f>(Summary!N3+Summary!N6+Summary!N9+Summary!N12)+(Summary!N4+Summary!N7+Summary!N10+Summary!N13)</f>
        <v>3326864.4299999997</v>
      </c>
      <c r="D36" s="267">
        <v>2952055.12</v>
      </c>
    </row>
    <row r="37" spans="1:6" ht="34.5" customHeight="1" x14ac:dyDescent="0.2">
      <c r="A37" s="77" t="s">
        <v>161</v>
      </c>
      <c r="B37" s="297">
        <v>391569</v>
      </c>
      <c r="C37" s="268">
        <f>Summary!N17+Summary!N18</f>
        <v>393663.34</v>
      </c>
      <c r="D37" s="267">
        <v>377105.57</v>
      </c>
    </row>
    <row r="38" spans="1:6" x14ac:dyDescent="0.2">
      <c r="A38" s="77" t="s">
        <v>280</v>
      </c>
      <c r="B38" s="298">
        <v>862307</v>
      </c>
      <c r="C38" s="267">
        <f>Summary!N22</f>
        <v>862306.96</v>
      </c>
      <c r="D38" s="267">
        <v>678777.15</v>
      </c>
    </row>
    <row r="39" spans="1:6" x14ac:dyDescent="0.2">
      <c r="A39" s="77" t="s">
        <v>281</v>
      </c>
      <c r="B39" s="298">
        <v>132706</v>
      </c>
      <c r="C39" s="269">
        <f>Summary!N25</f>
        <v>152574.6</v>
      </c>
      <c r="D39" s="267">
        <v>130668.08</v>
      </c>
    </row>
    <row r="40" spans="1:6" x14ac:dyDescent="0.2">
      <c r="A40" s="77" t="s">
        <v>162</v>
      </c>
      <c r="B40" s="298">
        <v>70235</v>
      </c>
      <c r="C40" s="269">
        <f>Summary!N26+Summary!N27</f>
        <v>95817.079999999987</v>
      </c>
      <c r="D40" s="267">
        <v>143931.41</v>
      </c>
    </row>
    <row r="41" spans="1:6" x14ac:dyDescent="0.2">
      <c r="A41" s="77" t="s">
        <v>163</v>
      </c>
      <c r="B41" s="298">
        <v>23027</v>
      </c>
      <c r="C41" s="267">
        <f>Summary!N34</f>
        <v>21991.200000000001</v>
      </c>
      <c r="D41" s="267">
        <v>31616.35</v>
      </c>
      <c r="F41" s="250"/>
    </row>
    <row r="42" spans="1:6" ht="15" customHeight="1" x14ac:dyDescent="0.2">
      <c r="A42" s="77" t="s">
        <v>164</v>
      </c>
      <c r="B42" s="298">
        <v>53508</v>
      </c>
      <c r="C42" s="267">
        <f>Summary!N37</f>
        <v>51837.859999999993</v>
      </c>
      <c r="D42" s="267">
        <v>66064.92</v>
      </c>
    </row>
    <row r="43" spans="1:6" x14ac:dyDescent="0.2">
      <c r="A43" s="77" t="s">
        <v>90</v>
      </c>
      <c r="B43" s="298">
        <v>86591</v>
      </c>
      <c r="C43" s="267">
        <f>Summary!N31</f>
        <v>88410.04</v>
      </c>
      <c r="D43" s="267">
        <v>78942.48</v>
      </c>
    </row>
    <row r="44" spans="1:6" ht="13.5" thickBot="1" x14ac:dyDescent="0.25">
      <c r="A44" s="77" t="s">
        <v>182</v>
      </c>
      <c r="B44" s="299">
        <v>0</v>
      </c>
      <c r="C44" s="270">
        <v>0</v>
      </c>
      <c r="D44" s="271">
        <v>0</v>
      </c>
    </row>
    <row r="45" spans="1:6" ht="15" x14ac:dyDescent="0.25">
      <c r="A45" s="240" t="s">
        <v>196</v>
      </c>
      <c r="B45" s="300">
        <f>SUM(B36:B44)</f>
        <v>4868335.76</v>
      </c>
      <c r="C45" s="272">
        <f>SUM(C36:C44)</f>
        <v>4993465.51</v>
      </c>
      <c r="D45" s="273">
        <f>SUM(D36:D44)</f>
        <v>4459161.08</v>
      </c>
      <c r="F45" s="250"/>
    </row>
    <row r="46" spans="1:6" x14ac:dyDescent="0.2">
      <c r="A46" s="313" t="s">
        <v>339</v>
      </c>
      <c r="B46" s="298"/>
      <c r="C46" s="274"/>
      <c r="D46" s="274">
        <v>3804</v>
      </c>
    </row>
    <row r="47" spans="1:6" x14ac:dyDescent="0.2">
      <c r="A47" s="119" t="s">
        <v>28</v>
      </c>
      <c r="B47" s="301">
        <v>0</v>
      </c>
      <c r="C47" s="275">
        <f>Summary!N44</f>
        <v>0</v>
      </c>
      <c r="D47" s="274">
        <v>0</v>
      </c>
    </row>
    <row r="48" spans="1:6" x14ac:dyDescent="0.2">
      <c r="A48" s="119" t="s">
        <v>29</v>
      </c>
      <c r="B48" s="301">
        <v>0</v>
      </c>
      <c r="C48" s="275">
        <f>Summary!N45</f>
        <v>5400</v>
      </c>
      <c r="D48" s="274">
        <v>0</v>
      </c>
    </row>
    <row r="49" spans="1:6" x14ac:dyDescent="0.2">
      <c r="A49" s="119" t="s">
        <v>17</v>
      </c>
      <c r="B49" s="302">
        <v>0</v>
      </c>
      <c r="C49" s="276">
        <f>Summary!N46</f>
        <v>0</v>
      </c>
      <c r="D49" s="274">
        <v>0</v>
      </c>
    </row>
    <row r="50" spans="1:6" x14ac:dyDescent="0.2">
      <c r="A50" s="119" t="s">
        <v>18</v>
      </c>
      <c r="B50" s="298">
        <v>0</v>
      </c>
      <c r="C50" s="274">
        <f>Summary!N47</f>
        <v>0</v>
      </c>
      <c r="D50" s="274">
        <v>0</v>
      </c>
    </row>
    <row r="51" spans="1:6" x14ac:dyDescent="0.2">
      <c r="A51" s="241" t="s">
        <v>97</v>
      </c>
      <c r="B51" s="303">
        <f>SUM(B47:B50)</f>
        <v>0</v>
      </c>
      <c r="C51" s="277">
        <f>SUM(C47:C50)</f>
        <v>5400</v>
      </c>
      <c r="D51" s="277">
        <f>SUM(D46:D50)</f>
        <v>3804</v>
      </c>
    </row>
    <row r="52" spans="1:6" x14ac:dyDescent="0.2">
      <c r="A52" s="120"/>
      <c r="B52" s="298"/>
      <c r="C52" s="274"/>
      <c r="D52" s="274"/>
      <c r="F52" s="250"/>
    </row>
    <row r="53" spans="1:6" x14ac:dyDescent="0.2">
      <c r="A53" s="78" t="s">
        <v>102</v>
      </c>
      <c r="B53" s="298">
        <v>35696.19</v>
      </c>
      <c r="C53" s="267">
        <f>Summary!N87</f>
        <v>113682.49</v>
      </c>
      <c r="D53" s="267">
        <v>31880.22</v>
      </c>
    </row>
    <row r="54" spans="1:6" x14ac:dyDescent="0.2">
      <c r="A54" s="78" t="s">
        <v>355</v>
      </c>
      <c r="B54" s="298">
        <v>53700</v>
      </c>
      <c r="C54" s="267">
        <v>53700</v>
      </c>
      <c r="D54" s="267">
        <v>0</v>
      </c>
    </row>
    <row r="55" spans="1:6" ht="13.5" thickBot="1" x14ac:dyDescent="0.25">
      <c r="A55" s="79" t="s">
        <v>165</v>
      </c>
      <c r="B55" s="299">
        <f>SUM(B53:B54)</f>
        <v>89396.19</v>
      </c>
      <c r="C55" s="271">
        <f>SUM(C53:C54)</f>
        <v>167382.49</v>
      </c>
      <c r="D55" s="278">
        <f>SUM(D53:D54)</f>
        <v>31880.22</v>
      </c>
    </row>
    <row r="56" spans="1:6" x14ac:dyDescent="0.2">
      <c r="A56" s="122" t="s">
        <v>181</v>
      </c>
      <c r="B56" s="304">
        <f>B55+B51+B45</f>
        <v>4957731.95</v>
      </c>
      <c r="C56" s="279">
        <f>C55+C51+C45</f>
        <v>5166248</v>
      </c>
      <c r="D56" s="279">
        <f>D55+D51+D45</f>
        <v>4494845.3</v>
      </c>
      <c r="F56" s="250"/>
    </row>
    <row r="57" spans="1:6" ht="15.75" x14ac:dyDescent="0.25">
      <c r="A57" s="243" t="s">
        <v>309</v>
      </c>
      <c r="B57" s="305">
        <f>B32-B56</f>
        <v>-73597.950000000186</v>
      </c>
      <c r="C57" s="280">
        <f>C32-C56</f>
        <v>15297.650000000373</v>
      </c>
      <c r="D57" s="280">
        <f>D32-D56</f>
        <v>16613.879999999888</v>
      </c>
    </row>
    <row r="58" spans="1:6" x14ac:dyDescent="0.2">
      <c r="A58" s="121"/>
    </row>
    <row r="59" spans="1:6" x14ac:dyDescent="0.2">
      <c r="A59" s="121"/>
      <c r="B59" s="306"/>
      <c r="C59" s="281"/>
    </row>
    <row r="60" spans="1:6" x14ac:dyDescent="0.2">
      <c r="A60" s="80" t="s">
        <v>186</v>
      </c>
      <c r="B60" s="298">
        <v>50000</v>
      </c>
      <c r="C60" s="269">
        <f>Lottery!N4</f>
        <v>53700.04</v>
      </c>
      <c r="D60" s="269">
        <v>50000</v>
      </c>
    </row>
    <row r="61" spans="1:6" x14ac:dyDescent="0.2">
      <c r="A61" s="206" t="s">
        <v>193</v>
      </c>
      <c r="B61" s="298">
        <f>Lottery!N2</f>
        <v>3700.04</v>
      </c>
      <c r="C61" s="269">
        <v>0</v>
      </c>
      <c r="D61" s="282">
        <v>0</v>
      </c>
    </row>
    <row r="62" spans="1:6" x14ac:dyDescent="0.2">
      <c r="A62" s="206" t="s">
        <v>180</v>
      </c>
      <c r="B62" s="242">
        <v>50000</v>
      </c>
      <c r="C62" s="269">
        <f>-Lottery!N31</f>
        <v>-52268.929999999993</v>
      </c>
      <c r="D62" s="269">
        <v>46299.96</v>
      </c>
    </row>
    <row r="63" spans="1:6" x14ac:dyDescent="0.2">
      <c r="A63" s="79" t="s">
        <v>301</v>
      </c>
      <c r="B63" s="307">
        <f>B60+B61-B62</f>
        <v>3700.0400000000009</v>
      </c>
      <c r="C63" s="282">
        <f>C60+C61+C62</f>
        <v>1431.1100000000079</v>
      </c>
      <c r="D63" s="282">
        <f>D60+D61-D62</f>
        <v>3700.0400000000009</v>
      </c>
    </row>
  </sheetData>
  <printOptions horizontalCentered="1" gridLines="1"/>
  <pageMargins left="0" right="0" top="0.75" bottom="0" header="0.3" footer="0.3"/>
  <pageSetup scale="80" orientation="portrait" r:id="rId1"/>
  <headerFooter>
    <oddHeader>&amp;LElectrical Engineering Department&amp;C Budget and Expenditure Projection 2016-17
&amp;R&amp;A</oddHeader>
    <oddFooter>&amp;R&amp;8&amp;D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7" tint="0.39997558519241921"/>
  </sheetPr>
  <dimension ref="A1:S19"/>
  <sheetViews>
    <sheetView tabSelected="1" workbookViewId="0">
      <selection activeCell="G34" sqref="G34"/>
    </sheetView>
  </sheetViews>
  <sheetFormatPr defaultColWidth="12.140625" defaultRowHeight="12" x14ac:dyDescent="0.2"/>
  <cols>
    <col min="1" max="1" width="5.7109375" style="3" customWidth="1"/>
    <col min="2" max="3" width="10.28515625" style="3" bestFit="1" customWidth="1"/>
    <col min="4" max="4" width="9.7109375" style="3" customWidth="1"/>
    <col min="5" max="5" width="10" style="3" customWidth="1"/>
    <col min="6" max="12" width="9.85546875" style="3" customWidth="1"/>
    <col min="13" max="13" width="10.28515625" style="3" bestFit="1" customWidth="1"/>
    <col min="14" max="14" width="9.7109375" style="3" customWidth="1"/>
    <col min="15" max="15" width="10" style="3" customWidth="1"/>
    <col min="16" max="17" width="9.85546875" style="3" customWidth="1"/>
    <col min="18" max="18" width="9.7109375" style="3" customWidth="1"/>
    <col min="19" max="19" width="10" style="3" customWidth="1"/>
    <col min="20" max="16384" width="12.140625" style="2"/>
  </cols>
  <sheetData>
    <row r="1" spans="1:19" s="28" customFormat="1" ht="12.75" x14ac:dyDescent="0.2">
      <c r="A1" s="27"/>
      <c r="B1" s="412" t="s">
        <v>6</v>
      </c>
      <c r="C1" s="393"/>
      <c r="D1" s="393"/>
      <c r="E1" s="392" t="s">
        <v>125</v>
      </c>
      <c r="F1" s="393"/>
      <c r="G1" s="393"/>
      <c r="H1" s="392" t="s">
        <v>126</v>
      </c>
      <c r="I1" s="393"/>
      <c r="J1" s="393"/>
      <c r="K1" s="412" t="s">
        <v>127</v>
      </c>
      <c r="L1" s="393"/>
      <c r="M1" s="393"/>
      <c r="N1" s="392" t="s">
        <v>128</v>
      </c>
      <c r="O1" s="393"/>
      <c r="P1" s="393"/>
      <c r="Q1" s="392" t="s">
        <v>129</v>
      </c>
      <c r="R1" s="393"/>
      <c r="S1" s="393"/>
    </row>
    <row r="2" spans="1:19" ht="12.75" x14ac:dyDescent="0.2">
      <c r="A2" s="55"/>
      <c r="B2" s="362" t="s">
        <v>33</v>
      </c>
      <c r="C2" s="362" t="s">
        <v>31</v>
      </c>
      <c r="D2" s="362" t="s">
        <v>32</v>
      </c>
      <c r="E2" s="361" t="s">
        <v>34</v>
      </c>
      <c r="F2" s="361" t="s">
        <v>31</v>
      </c>
      <c r="G2" s="361" t="s">
        <v>32</v>
      </c>
      <c r="H2" s="361" t="s">
        <v>34</v>
      </c>
      <c r="I2" s="361" t="s">
        <v>31</v>
      </c>
      <c r="J2" s="361" t="s">
        <v>32</v>
      </c>
      <c r="K2" s="362" t="s">
        <v>34</v>
      </c>
      <c r="L2" s="362" t="s">
        <v>31</v>
      </c>
      <c r="M2" s="362" t="s">
        <v>32</v>
      </c>
      <c r="N2" s="361" t="s">
        <v>34</v>
      </c>
      <c r="O2" s="361" t="s">
        <v>31</v>
      </c>
      <c r="P2" s="361" t="s">
        <v>32</v>
      </c>
      <c r="Q2" s="361" t="s">
        <v>34</v>
      </c>
      <c r="R2" s="361" t="s">
        <v>31</v>
      </c>
      <c r="S2" s="361" t="s">
        <v>32</v>
      </c>
    </row>
    <row r="3" spans="1:19" ht="12.75" x14ac:dyDescent="0.2">
      <c r="A3" s="55" t="s">
        <v>367</v>
      </c>
      <c r="B3" s="325">
        <v>9291.83</v>
      </c>
      <c r="C3" s="325">
        <v>5846</v>
      </c>
      <c r="D3" s="325">
        <f>B3-C3</f>
        <v>3445.83</v>
      </c>
      <c r="E3" s="325">
        <f t="shared" ref="E3:F3" si="0">B3</f>
        <v>9291.83</v>
      </c>
      <c r="F3" s="325">
        <f t="shared" si="0"/>
        <v>5846</v>
      </c>
      <c r="G3" s="325">
        <f>E3-F3</f>
        <v>3445.83</v>
      </c>
      <c r="H3" s="325">
        <f t="shared" ref="H3:H6" si="1">E3</f>
        <v>9291.83</v>
      </c>
      <c r="I3" s="325">
        <f t="shared" ref="I3:I6" si="2">F3</f>
        <v>5846</v>
      </c>
      <c r="J3" s="325">
        <f t="shared" ref="J3:J6" si="3">H3-I3</f>
        <v>3445.83</v>
      </c>
      <c r="K3" s="325">
        <f t="shared" ref="K3:K6" si="4">H3</f>
        <v>9291.83</v>
      </c>
      <c r="L3" s="325">
        <f t="shared" ref="L3:L6" si="5">I3</f>
        <v>5846</v>
      </c>
      <c r="M3" s="325">
        <f t="shared" ref="M3:M6" si="6">K3-L3</f>
        <v>3445.83</v>
      </c>
      <c r="N3" s="325">
        <f>9528.33+(236.5*4)</f>
        <v>10474.33</v>
      </c>
      <c r="O3" s="325">
        <f>6022+(176*4)</f>
        <v>6726</v>
      </c>
      <c r="P3" s="325">
        <f t="shared" ref="P3:P6" si="7">N3-O3</f>
        <v>3748.33</v>
      </c>
      <c r="Q3" s="325">
        <v>9536.74</v>
      </c>
      <c r="R3" s="325">
        <v>6022</v>
      </c>
      <c r="S3" s="325">
        <f t="shared" ref="S3:S6" si="8">Q3-R3</f>
        <v>3514.74</v>
      </c>
    </row>
    <row r="4" spans="1:19" ht="12.75" x14ac:dyDescent="0.2">
      <c r="A4" s="55" t="s">
        <v>368</v>
      </c>
      <c r="B4" s="325">
        <v>7334.49</v>
      </c>
      <c r="C4" s="325">
        <v>4392</v>
      </c>
      <c r="D4" s="325">
        <f>B4-C4</f>
        <v>2942.49</v>
      </c>
      <c r="E4" s="325">
        <f t="shared" ref="E4:E6" si="9">B4</f>
        <v>7334.49</v>
      </c>
      <c r="F4" s="325">
        <f t="shared" ref="F4:F6" si="10">C4</f>
        <v>4392</v>
      </c>
      <c r="G4" s="325">
        <f t="shared" ref="G4:G6" si="11">E4-F4</f>
        <v>2942.49</v>
      </c>
      <c r="H4" s="325">
        <f t="shared" si="1"/>
        <v>7334.49</v>
      </c>
      <c r="I4" s="325">
        <f t="shared" si="2"/>
        <v>4392</v>
      </c>
      <c r="J4" s="325">
        <f t="shared" si="3"/>
        <v>2942.49</v>
      </c>
      <c r="K4" s="325">
        <f t="shared" si="4"/>
        <v>7334.49</v>
      </c>
      <c r="L4" s="325">
        <f t="shared" si="5"/>
        <v>4392</v>
      </c>
      <c r="M4" s="325">
        <f t="shared" si="6"/>
        <v>2942.49</v>
      </c>
      <c r="N4" s="325">
        <f t="shared" ref="N4:N6" si="12">K4</f>
        <v>7334.49</v>
      </c>
      <c r="O4" s="325">
        <f t="shared" ref="O4:O6" si="13">L4</f>
        <v>4392</v>
      </c>
      <c r="P4" s="325">
        <f t="shared" si="7"/>
        <v>2942.49</v>
      </c>
      <c r="Q4" s="325">
        <v>7355.95</v>
      </c>
      <c r="R4" s="325">
        <f t="shared" ref="R4:R6" si="14">O4</f>
        <v>4392</v>
      </c>
      <c r="S4" s="325">
        <f t="shared" si="8"/>
        <v>2963.95</v>
      </c>
    </row>
    <row r="5" spans="1:19" ht="12.75" x14ac:dyDescent="0.2">
      <c r="A5" s="55" t="s">
        <v>369</v>
      </c>
      <c r="B5" s="325">
        <v>7960.99</v>
      </c>
      <c r="C5" s="325">
        <v>5358</v>
      </c>
      <c r="D5" s="325">
        <f>B5-C5</f>
        <v>2602.9899999999998</v>
      </c>
      <c r="E5" s="325">
        <f t="shared" si="9"/>
        <v>7960.99</v>
      </c>
      <c r="F5" s="325">
        <f t="shared" si="10"/>
        <v>5358</v>
      </c>
      <c r="G5" s="325">
        <f t="shared" si="11"/>
        <v>2602.9899999999998</v>
      </c>
      <c r="H5" s="325">
        <f t="shared" si="1"/>
        <v>7960.99</v>
      </c>
      <c r="I5" s="325">
        <f t="shared" si="2"/>
        <v>5358</v>
      </c>
      <c r="J5" s="325">
        <f t="shared" si="3"/>
        <v>2602.9899999999998</v>
      </c>
      <c r="K5" s="325">
        <f t="shared" si="4"/>
        <v>7960.99</v>
      </c>
      <c r="L5" s="325">
        <f t="shared" si="5"/>
        <v>5358</v>
      </c>
      <c r="M5" s="325">
        <f t="shared" si="6"/>
        <v>2602.9899999999998</v>
      </c>
      <c r="N5" s="325">
        <f t="shared" si="12"/>
        <v>7960.99</v>
      </c>
      <c r="O5" s="325">
        <f t="shared" si="13"/>
        <v>5358</v>
      </c>
      <c r="P5" s="325">
        <f t="shared" si="7"/>
        <v>2602.9899999999998</v>
      </c>
      <c r="Q5" s="325">
        <v>7945.68</v>
      </c>
      <c r="R5" s="325">
        <f t="shared" si="14"/>
        <v>5358</v>
      </c>
      <c r="S5" s="325">
        <f t="shared" si="8"/>
        <v>2587.6800000000003</v>
      </c>
    </row>
    <row r="6" spans="1:19" ht="12.75" x14ac:dyDescent="0.2">
      <c r="A6" s="55" t="s">
        <v>370</v>
      </c>
      <c r="B6" s="325">
        <v>8043.4</v>
      </c>
      <c r="C6" s="325">
        <v>4955</v>
      </c>
      <c r="D6" s="325">
        <f>B6-C6</f>
        <v>3088.3999999999996</v>
      </c>
      <c r="E6" s="325">
        <f t="shared" si="9"/>
        <v>8043.4</v>
      </c>
      <c r="F6" s="325">
        <f t="shared" si="10"/>
        <v>4955</v>
      </c>
      <c r="G6" s="325">
        <f t="shared" si="11"/>
        <v>3088.3999999999996</v>
      </c>
      <c r="H6" s="325">
        <f t="shared" si="1"/>
        <v>8043.4</v>
      </c>
      <c r="I6" s="325">
        <f t="shared" si="2"/>
        <v>4955</v>
      </c>
      <c r="J6" s="325">
        <f t="shared" si="3"/>
        <v>3088.3999999999996</v>
      </c>
      <c r="K6" s="325">
        <f t="shared" si="4"/>
        <v>8043.4</v>
      </c>
      <c r="L6" s="325">
        <f t="shared" si="5"/>
        <v>4955</v>
      </c>
      <c r="M6" s="325">
        <f t="shared" si="6"/>
        <v>3088.3999999999996</v>
      </c>
      <c r="N6" s="325">
        <f t="shared" si="12"/>
        <v>8043.4</v>
      </c>
      <c r="O6" s="325">
        <f t="shared" si="13"/>
        <v>4955</v>
      </c>
      <c r="P6" s="325">
        <f t="shared" si="7"/>
        <v>3088.3999999999996</v>
      </c>
      <c r="Q6" s="325">
        <v>8061.39</v>
      </c>
      <c r="R6" s="325">
        <f t="shared" si="14"/>
        <v>4955</v>
      </c>
      <c r="S6" s="325">
        <f t="shared" si="8"/>
        <v>3106.3900000000003</v>
      </c>
    </row>
    <row r="7" spans="1:19" ht="12.75" x14ac:dyDescent="0.2">
      <c r="A7" s="334" t="s">
        <v>34</v>
      </c>
      <c r="B7" s="326">
        <f t="shared" ref="B7:S7" si="15">SUM(B3:B6)</f>
        <v>32630.71</v>
      </c>
      <c r="C7" s="326">
        <f t="shared" si="15"/>
        <v>20551</v>
      </c>
      <c r="D7" s="326">
        <f t="shared" si="15"/>
        <v>12079.71</v>
      </c>
      <c r="E7" s="326">
        <f t="shared" si="15"/>
        <v>32630.71</v>
      </c>
      <c r="F7" s="326">
        <f t="shared" si="15"/>
        <v>20551</v>
      </c>
      <c r="G7" s="326">
        <f t="shared" si="15"/>
        <v>12079.71</v>
      </c>
      <c r="H7" s="326">
        <f t="shared" si="15"/>
        <v>32630.71</v>
      </c>
      <c r="I7" s="326">
        <f t="shared" si="15"/>
        <v>20551</v>
      </c>
      <c r="J7" s="326">
        <f t="shared" si="15"/>
        <v>12079.71</v>
      </c>
      <c r="K7" s="326">
        <f t="shared" si="15"/>
        <v>32630.71</v>
      </c>
      <c r="L7" s="326">
        <f t="shared" si="15"/>
        <v>20551</v>
      </c>
      <c r="M7" s="326">
        <f t="shared" si="15"/>
        <v>12079.71</v>
      </c>
      <c r="N7" s="326">
        <f t="shared" si="15"/>
        <v>33813.21</v>
      </c>
      <c r="O7" s="326">
        <f t="shared" si="15"/>
        <v>21431</v>
      </c>
      <c r="P7" s="326">
        <f t="shared" si="15"/>
        <v>12382.21</v>
      </c>
      <c r="Q7" s="326">
        <f t="shared" si="15"/>
        <v>32899.760000000002</v>
      </c>
      <c r="R7" s="326">
        <f t="shared" si="15"/>
        <v>20727</v>
      </c>
      <c r="S7" s="326">
        <f t="shared" si="15"/>
        <v>12172.759999999998</v>
      </c>
    </row>
    <row r="8" spans="1:19" s="28" customFormat="1" ht="12.75" x14ac:dyDescent="0.2">
      <c r="A8" s="202"/>
      <c r="B8" s="392" t="s">
        <v>130</v>
      </c>
      <c r="C8" s="393"/>
      <c r="D8" s="393"/>
      <c r="E8" s="392" t="s">
        <v>131</v>
      </c>
      <c r="F8" s="393"/>
      <c r="G8" s="393"/>
      <c r="H8" s="392" t="s">
        <v>132</v>
      </c>
      <c r="I8" s="393"/>
      <c r="J8" s="393"/>
      <c r="K8" s="392" t="s">
        <v>133</v>
      </c>
      <c r="L8" s="393"/>
      <c r="M8" s="393"/>
      <c r="N8" s="392" t="s">
        <v>15</v>
      </c>
      <c r="O8" s="393"/>
      <c r="P8" s="393"/>
      <c r="Q8" s="392" t="s">
        <v>134</v>
      </c>
      <c r="R8" s="393"/>
      <c r="S8" s="393"/>
    </row>
    <row r="9" spans="1:19" ht="12.75" x14ac:dyDescent="0.2">
      <c r="A9" s="55"/>
      <c r="B9" s="361" t="s">
        <v>34</v>
      </c>
      <c r="C9" s="361" t="s">
        <v>31</v>
      </c>
      <c r="D9" s="361" t="s">
        <v>32</v>
      </c>
      <c r="E9" s="361" t="s">
        <v>34</v>
      </c>
      <c r="F9" s="361" t="s">
        <v>31</v>
      </c>
      <c r="G9" s="361" t="s">
        <v>32</v>
      </c>
      <c r="H9" s="361" t="s">
        <v>34</v>
      </c>
      <c r="I9" s="361" t="s">
        <v>31</v>
      </c>
      <c r="J9" s="361" t="s">
        <v>32</v>
      </c>
      <c r="K9" s="361" t="s">
        <v>34</v>
      </c>
      <c r="L9" s="361" t="s">
        <v>31</v>
      </c>
      <c r="M9" s="361" t="s">
        <v>32</v>
      </c>
      <c r="N9" s="361" t="s">
        <v>34</v>
      </c>
      <c r="O9" s="361" t="s">
        <v>31</v>
      </c>
      <c r="P9" s="361" t="s">
        <v>32</v>
      </c>
      <c r="Q9" s="361" t="s">
        <v>34</v>
      </c>
      <c r="R9" s="361" t="s">
        <v>31</v>
      </c>
      <c r="S9" s="361" t="s">
        <v>32</v>
      </c>
    </row>
    <row r="10" spans="1:19" ht="12.75" x14ac:dyDescent="0.2">
      <c r="A10" s="55" t="s">
        <v>367</v>
      </c>
      <c r="B10" s="335">
        <f>-665.29+8891.77</f>
        <v>8226.48</v>
      </c>
      <c r="C10" s="335">
        <f>R3</f>
        <v>6022</v>
      </c>
      <c r="D10" s="335">
        <f>B10-C10</f>
        <v>2204.4799999999996</v>
      </c>
      <c r="E10" s="335">
        <v>8881.61</v>
      </c>
      <c r="F10" s="335">
        <f>C10</f>
        <v>6022</v>
      </c>
      <c r="G10" s="335">
        <f>E10-F10</f>
        <v>2859.6100000000006</v>
      </c>
      <c r="H10" s="335">
        <f t="shared" ref="H10:I13" si="16">E10</f>
        <v>8881.61</v>
      </c>
      <c r="I10" s="335">
        <f t="shared" si="16"/>
        <v>6022</v>
      </c>
      <c r="J10" s="335">
        <f t="shared" ref="J10:J13" si="17">H10-I10</f>
        <v>2859.6100000000006</v>
      </c>
      <c r="K10" s="335">
        <f t="shared" ref="K10:L13" si="18">H10</f>
        <v>8881.61</v>
      </c>
      <c r="L10" s="335">
        <f t="shared" si="18"/>
        <v>6022</v>
      </c>
      <c r="M10" s="335">
        <f t="shared" ref="M10:M13" si="19">K10-L10</f>
        <v>2859.6100000000006</v>
      </c>
      <c r="N10" s="335">
        <f t="shared" ref="N10:O13" si="20">K10</f>
        <v>8881.61</v>
      </c>
      <c r="O10" s="335">
        <f t="shared" si="20"/>
        <v>6022</v>
      </c>
      <c r="P10" s="335">
        <f t="shared" ref="P10:P13" si="21">N10-O10</f>
        <v>2859.6100000000006</v>
      </c>
      <c r="Q10" s="335">
        <f t="shared" ref="Q10:R13" si="22">N10</f>
        <v>8881.61</v>
      </c>
      <c r="R10" s="335">
        <f t="shared" si="22"/>
        <v>6022</v>
      </c>
      <c r="S10" s="335">
        <f t="shared" ref="S10:S13" si="23">Q10-R10</f>
        <v>2859.6100000000006</v>
      </c>
    </row>
    <row r="11" spans="1:19" ht="12.75" x14ac:dyDescent="0.2">
      <c r="A11" s="55" t="s">
        <v>368</v>
      </c>
      <c r="B11" s="335">
        <f t="shared" ref="B11:C11" si="24">Q4</f>
        <v>7355.95</v>
      </c>
      <c r="C11" s="335">
        <f t="shared" si="24"/>
        <v>4392</v>
      </c>
      <c r="D11" s="335">
        <f t="shared" ref="D11:D12" si="25">B11-C11</f>
        <v>2963.95</v>
      </c>
      <c r="E11" s="335">
        <f t="shared" ref="E11" si="26">B11</f>
        <v>7355.95</v>
      </c>
      <c r="F11" s="335">
        <f t="shared" ref="F11:F12" si="27">C11</f>
        <v>4392</v>
      </c>
      <c r="G11" s="335">
        <f t="shared" ref="G11:G13" si="28">E11-F11</f>
        <v>2963.95</v>
      </c>
      <c r="H11" s="335">
        <f t="shared" si="16"/>
        <v>7355.95</v>
      </c>
      <c r="I11" s="335">
        <f t="shared" si="16"/>
        <v>4392</v>
      </c>
      <c r="J11" s="335">
        <f t="shared" si="17"/>
        <v>2963.95</v>
      </c>
      <c r="K11" s="335">
        <f t="shared" si="18"/>
        <v>7355.95</v>
      </c>
      <c r="L11" s="335">
        <f t="shared" si="18"/>
        <v>4392</v>
      </c>
      <c r="M11" s="335">
        <f t="shared" si="19"/>
        <v>2963.95</v>
      </c>
      <c r="N11" s="335">
        <f t="shared" si="20"/>
        <v>7355.95</v>
      </c>
      <c r="O11" s="335">
        <f t="shared" si="20"/>
        <v>4392</v>
      </c>
      <c r="P11" s="335">
        <f t="shared" si="21"/>
        <v>2963.95</v>
      </c>
      <c r="Q11" s="335">
        <f t="shared" si="22"/>
        <v>7355.95</v>
      </c>
      <c r="R11" s="335">
        <f t="shared" si="22"/>
        <v>4392</v>
      </c>
      <c r="S11" s="335">
        <f t="shared" si="23"/>
        <v>2963.95</v>
      </c>
    </row>
    <row r="12" spans="1:19" ht="12.75" x14ac:dyDescent="0.2">
      <c r="A12" s="55" t="s">
        <v>369</v>
      </c>
      <c r="B12" s="335">
        <f t="shared" ref="B12:C12" si="29">Q5</f>
        <v>7945.68</v>
      </c>
      <c r="C12" s="335">
        <f t="shared" si="29"/>
        <v>5358</v>
      </c>
      <c r="D12" s="335">
        <f t="shared" si="25"/>
        <v>2587.6800000000003</v>
      </c>
      <c r="E12" s="335">
        <v>7945.68</v>
      </c>
      <c r="F12" s="335">
        <f t="shared" si="27"/>
        <v>5358</v>
      </c>
      <c r="G12" s="335">
        <f t="shared" si="28"/>
        <v>2587.6800000000003</v>
      </c>
      <c r="H12" s="335">
        <f t="shared" si="16"/>
        <v>7945.68</v>
      </c>
      <c r="I12" s="335">
        <f t="shared" si="16"/>
        <v>5358</v>
      </c>
      <c r="J12" s="335">
        <f t="shared" si="17"/>
        <v>2587.6800000000003</v>
      </c>
      <c r="K12" s="335">
        <f t="shared" si="18"/>
        <v>7945.68</v>
      </c>
      <c r="L12" s="335">
        <f t="shared" si="18"/>
        <v>5358</v>
      </c>
      <c r="M12" s="335">
        <f t="shared" si="19"/>
        <v>2587.6800000000003</v>
      </c>
      <c r="N12" s="335">
        <f>8382.74+338.12</f>
        <v>8720.86</v>
      </c>
      <c r="O12" s="335">
        <f>5626+268+268</f>
        <v>6162</v>
      </c>
      <c r="P12" s="335">
        <f t="shared" si="21"/>
        <v>2558.8600000000006</v>
      </c>
      <c r="Q12" s="335">
        <v>8382.74</v>
      </c>
      <c r="R12" s="335">
        <v>5626</v>
      </c>
      <c r="S12" s="335">
        <f t="shared" si="23"/>
        <v>2756.74</v>
      </c>
    </row>
    <row r="13" spans="1:19" s="142" customFormat="1" ht="12.75" x14ac:dyDescent="0.2">
      <c r="A13" s="55" t="s">
        <v>370</v>
      </c>
      <c r="B13" s="335">
        <f>8261.61+(200.22*6)</f>
        <v>9462.93</v>
      </c>
      <c r="C13" s="335">
        <f>5104+(149*6)</f>
        <v>5998</v>
      </c>
      <c r="D13" s="335">
        <f>3157.61+(51.22*6)</f>
        <v>3464.9300000000003</v>
      </c>
      <c r="E13" s="335">
        <v>8261.61</v>
      </c>
      <c r="F13" s="335">
        <v>5104</v>
      </c>
      <c r="G13" s="335">
        <f t="shared" si="28"/>
        <v>3157.6100000000006</v>
      </c>
      <c r="H13" s="335">
        <f t="shared" si="16"/>
        <v>8261.61</v>
      </c>
      <c r="I13" s="335">
        <f t="shared" si="16"/>
        <v>5104</v>
      </c>
      <c r="J13" s="335">
        <f t="shared" si="17"/>
        <v>3157.6100000000006</v>
      </c>
      <c r="K13" s="335">
        <f t="shared" si="18"/>
        <v>8261.61</v>
      </c>
      <c r="L13" s="335">
        <f t="shared" si="18"/>
        <v>5104</v>
      </c>
      <c r="M13" s="335">
        <f t="shared" si="19"/>
        <v>3157.6100000000006</v>
      </c>
      <c r="N13" s="335">
        <f t="shared" si="20"/>
        <v>8261.61</v>
      </c>
      <c r="O13" s="335">
        <f t="shared" si="20"/>
        <v>5104</v>
      </c>
      <c r="P13" s="335">
        <f t="shared" si="21"/>
        <v>3157.6100000000006</v>
      </c>
      <c r="Q13" s="335">
        <f t="shared" si="22"/>
        <v>8261.61</v>
      </c>
      <c r="R13" s="335">
        <f t="shared" si="22"/>
        <v>5104</v>
      </c>
      <c r="S13" s="335">
        <f t="shared" si="23"/>
        <v>3157.6100000000006</v>
      </c>
    </row>
    <row r="14" spans="1:19" ht="12.75" x14ac:dyDescent="0.2">
      <c r="A14" s="334" t="s">
        <v>34</v>
      </c>
      <c r="B14" s="336">
        <f t="shared" ref="B14:S14" si="30">SUM(B10:B13)</f>
        <v>32991.040000000001</v>
      </c>
      <c r="C14" s="336">
        <f t="shared" si="30"/>
        <v>21770</v>
      </c>
      <c r="D14" s="336">
        <f t="shared" si="30"/>
        <v>11221.04</v>
      </c>
      <c r="E14" s="336">
        <f t="shared" si="30"/>
        <v>32444.850000000002</v>
      </c>
      <c r="F14" s="336">
        <f t="shared" si="30"/>
        <v>20876</v>
      </c>
      <c r="G14" s="336">
        <f t="shared" si="30"/>
        <v>11568.850000000002</v>
      </c>
      <c r="H14" s="336">
        <f t="shared" si="30"/>
        <v>32444.850000000002</v>
      </c>
      <c r="I14" s="336">
        <f t="shared" si="30"/>
        <v>20876</v>
      </c>
      <c r="J14" s="336">
        <f t="shared" si="30"/>
        <v>11568.850000000002</v>
      </c>
      <c r="K14" s="336">
        <f t="shared" si="30"/>
        <v>32444.850000000002</v>
      </c>
      <c r="L14" s="336">
        <f t="shared" si="30"/>
        <v>20876</v>
      </c>
      <c r="M14" s="336">
        <f t="shared" si="30"/>
        <v>11568.850000000002</v>
      </c>
      <c r="N14" s="336">
        <f t="shared" si="30"/>
        <v>33220.03</v>
      </c>
      <c r="O14" s="336">
        <f t="shared" si="30"/>
        <v>21680</v>
      </c>
      <c r="P14" s="336">
        <f t="shared" si="30"/>
        <v>11540.030000000002</v>
      </c>
      <c r="Q14" s="336">
        <f t="shared" si="30"/>
        <v>32881.910000000003</v>
      </c>
      <c r="R14" s="336">
        <f t="shared" si="30"/>
        <v>21144</v>
      </c>
      <c r="S14" s="336">
        <f t="shared" si="30"/>
        <v>11737.91</v>
      </c>
    </row>
    <row r="15" spans="1:19" ht="12.75" x14ac:dyDescent="0.2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</row>
    <row r="16" spans="1:19" ht="12.75" x14ac:dyDescent="0.2">
      <c r="A16" s="55"/>
      <c r="B16" s="394" t="s">
        <v>81</v>
      </c>
      <c r="C16" s="394"/>
      <c r="D16" s="394"/>
      <c r="E16" s="394"/>
      <c r="F16" s="394"/>
      <c r="G16" s="395"/>
      <c r="H16" s="395"/>
      <c r="I16" s="395"/>
      <c r="J16" s="395"/>
      <c r="K16" s="395"/>
      <c r="L16" s="55"/>
      <c r="M16" s="55"/>
      <c r="N16" s="55"/>
      <c r="O16" s="55"/>
      <c r="P16" s="55"/>
      <c r="Q16" s="55"/>
      <c r="R16" s="55"/>
      <c r="S16" s="55"/>
    </row>
    <row r="17" spans="1:19" ht="12.75" x14ac:dyDescent="0.2">
      <c r="A17" s="55"/>
      <c r="B17" s="396" t="s">
        <v>35</v>
      </c>
      <c r="C17" s="396"/>
      <c r="D17" s="396"/>
      <c r="E17" s="400">
        <f>C7+F7+I7+L7+O7+R7+R14+O14+L14+I14+F14+C14</f>
        <v>251584</v>
      </c>
      <c r="F17" s="393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</row>
    <row r="18" spans="1:19" ht="12.75" x14ac:dyDescent="0.2">
      <c r="A18" s="55"/>
      <c r="B18" s="396" t="s">
        <v>36</v>
      </c>
      <c r="C18" s="396"/>
      <c r="D18" s="396"/>
      <c r="E18" s="400">
        <f>D7+G7+J7+M7+P7+S7+S14+P14+M14+J14+G14+D14</f>
        <v>142079.34000000003</v>
      </c>
      <c r="F18" s="393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</row>
    <row r="19" spans="1:19" ht="12.75" x14ac:dyDescent="0.2">
      <c r="A19" s="55"/>
      <c r="B19" s="397" t="s">
        <v>37</v>
      </c>
      <c r="C19" s="398"/>
      <c r="D19" s="399"/>
      <c r="E19" s="401">
        <f>E17+E18</f>
        <v>393663.34</v>
      </c>
      <c r="F19" s="402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</row>
  </sheetData>
  <sortState ref="A10:S13">
    <sortCondition ref="A10:A13"/>
  </sortState>
  <mergeCells count="20">
    <mergeCell ref="B16:F16"/>
    <mergeCell ref="G16:K16"/>
    <mergeCell ref="B17:D17"/>
    <mergeCell ref="B18:D18"/>
    <mergeCell ref="B19:D19"/>
    <mergeCell ref="E17:F17"/>
    <mergeCell ref="E18:F18"/>
    <mergeCell ref="E19:F19"/>
    <mergeCell ref="Q8:S8"/>
    <mergeCell ref="B1:D1"/>
    <mergeCell ref="E1:G1"/>
    <mergeCell ref="H1:J1"/>
    <mergeCell ref="K1:M1"/>
    <mergeCell ref="N1:P1"/>
    <mergeCell ref="Q1:S1"/>
    <mergeCell ref="B8:D8"/>
    <mergeCell ref="E8:G8"/>
    <mergeCell ref="H8:J8"/>
    <mergeCell ref="K8:M8"/>
    <mergeCell ref="N8:P8"/>
  </mergeCells>
  <phoneticPr fontId="19" type="noConversion"/>
  <printOptions horizontalCentered="1" gridLines="1"/>
  <pageMargins left="0" right="0" top="0.75" bottom="0" header="0.3" footer="0.3"/>
  <pageSetup scale="75" orientation="landscape" r:id="rId1"/>
  <headerFooter>
    <oddHeader>&amp;LElectrical Engineering Department&amp;C Budget and Expenditure Projection 2016-17
&amp;R&amp;A</oddHeader>
    <oddFooter>&amp;R&amp;8&amp;D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8" tint="0.59999389629810485"/>
  </sheetPr>
  <dimension ref="A1:U37"/>
  <sheetViews>
    <sheetView tabSelected="1" workbookViewId="0">
      <selection activeCell="G34" sqref="G34"/>
    </sheetView>
  </sheetViews>
  <sheetFormatPr defaultColWidth="9.140625" defaultRowHeight="11.25" x14ac:dyDescent="0.2"/>
  <cols>
    <col min="1" max="1" width="11.28515625" style="187" customWidth="1"/>
    <col min="2" max="3" width="9.140625" style="187" bestFit="1" customWidth="1"/>
    <col min="4" max="4" width="7.7109375" style="187" bestFit="1" customWidth="1"/>
    <col min="5" max="6" width="9.140625" style="187" bestFit="1" customWidth="1"/>
    <col min="7" max="7" width="8.28515625" style="187" bestFit="1" customWidth="1"/>
    <col min="8" max="9" width="9.140625" style="187" bestFit="1" customWidth="1"/>
    <col min="10" max="10" width="8.28515625" style="187" bestFit="1" customWidth="1"/>
    <col min="11" max="12" width="9.140625" style="187" bestFit="1" customWidth="1"/>
    <col min="13" max="13" width="8.28515625" style="187" bestFit="1" customWidth="1"/>
    <col min="14" max="15" width="9.7109375" style="187" bestFit="1" customWidth="1"/>
    <col min="16" max="16" width="7.7109375" style="187" bestFit="1" customWidth="1"/>
    <col min="17" max="17" width="9.7109375" style="187" bestFit="1" customWidth="1"/>
    <col min="18" max="18" width="9.140625" style="187" bestFit="1" customWidth="1"/>
    <col min="19" max="19" width="7.7109375" style="187" bestFit="1" customWidth="1"/>
    <col min="20" max="16384" width="9.140625" style="187"/>
  </cols>
  <sheetData>
    <row r="1" spans="1:19" ht="12.75" x14ac:dyDescent="0.2">
      <c r="A1" s="55"/>
      <c r="B1" s="392" t="s">
        <v>6</v>
      </c>
      <c r="C1" s="392"/>
      <c r="D1" s="392"/>
      <c r="E1" s="392" t="s">
        <v>125</v>
      </c>
      <c r="F1" s="392"/>
      <c r="G1" s="392"/>
      <c r="H1" s="392" t="s">
        <v>126</v>
      </c>
      <c r="I1" s="392"/>
      <c r="J1" s="392"/>
      <c r="K1" s="392" t="s">
        <v>127</v>
      </c>
      <c r="L1" s="392"/>
      <c r="M1" s="392"/>
      <c r="N1" s="392" t="s">
        <v>128</v>
      </c>
      <c r="O1" s="392"/>
      <c r="P1" s="392"/>
      <c r="Q1" s="392" t="s">
        <v>129</v>
      </c>
      <c r="R1" s="392"/>
      <c r="S1" s="392"/>
    </row>
    <row r="2" spans="1:19" ht="12.75" x14ac:dyDescent="0.2">
      <c r="A2" s="55"/>
      <c r="B2" s="325" t="s">
        <v>33</v>
      </c>
      <c r="C2" s="325" t="s">
        <v>31</v>
      </c>
      <c r="D2" s="325" t="s">
        <v>32</v>
      </c>
      <c r="E2" s="326" t="s">
        <v>34</v>
      </c>
      <c r="F2" s="326" t="s">
        <v>31</v>
      </c>
      <c r="G2" s="326" t="s">
        <v>32</v>
      </c>
      <c r="H2" s="326" t="s">
        <v>34</v>
      </c>
      <c r="I2" s="326" t="s">
        <v>31</v>
      </c>
      <c r="J2" s="326" t="s">
        <v>32</v>
      </c>
      <c r="K2" s="326" t="s">
        <v>34</v>
      </c>
      <c r="L2" s="326" t="s">
        <v>31</v>
      </c>
      <c r="M2" s="326" t="s">
        <v>32</v>
      </c>
      <c r="N2" s="325" t="s">
        <v>34</v>
      </c>
      <c r="O2" s="325" t="s">
        <v>31</v>
      </c>
      <c r="P2" s="325" t="s">
        <v>32</v>
      </c>
      <c r="Q2" s="325" t="s">
        <v>34</v>
      </c>
      <c r="R2" s="325" t="s">
        <v>31</v>
      </c>
      <c r="S2" s="325" t="s">
        <v>32</v>
      </c>
    </row>
    <row r="3" spans="1:19" ht="12.75" x14ac:dyDescent="0.2">
      <c r="A3" s="55" t="s">
        <v>367</v>
      </c>
      <c r="B3" s="327">
        <v>418.67</v>
      </c>
      <c r="C3" s="327">
        <f>B3</f>
        <v>418.67</v>
      </c>
      <c r="D3" s="327">
        <f>B3-C3</f>
        <v>0</v>
      </c>
      <c r="E3" s="327">
        <v>0</v>
      </c>
      <c r="F3" s="327">
        <f t="shared" ref="F3" si="0">E3</f>
        <v>0</v>
      </c>
      <c r="G3" s="327">
        <f t="shared" ref="G3" si="1">E3-F3</f>
        <v>0</v>
      </c>
      <c r="H3" s="327">
        <v>418.67</v>
      </c>
      <c r="I3" s="327">
        <f t="shared" ref="I3" si="2">H3</f>
        <v>418.67</v>
      </c>
      <c r="J3" s="327">
        <f t="shared" ref="J3:J9" si="3">H3-I3</f>
        <v>0</v>
      </c>
      <c r="K3" s="327">
        <f t="shared" ref="K3:K9" si="4">H3</f>
        <v>418.67</v>
      </c>
      <c r="L3" s="327">
        <f t="shared" ref="L3:L9" si="5">K3</f>
        <v>418.67</v>
      </c>
      <c r="M3" s="327">
        <f t="shared" ref="M3:M9" si="6">K3-L3</f>
        <v>0</v>
      </c>
      <c r="N3" s="327">
        <f>418.67-418.67</f>
        <v>0</v>
      </c>
      <c r="O3" s="327">
        <f t="shared" ref="O3:R9" si="7">N3</f>
        <v>0</v>
      </c>
      <c r="P3" s="327">
        <f t="shared" ref="P3:P9" si="8">N3-O3</f>
        <v>0</v>
      </c>
      <c r="Q3" s="327">
        <v>418.67</v>
      </c>
      <c r="R3" s="327">
        <f t="shared" si="7"/>
        <v>418.67</v>
      </c>
      <c r="S3" s="327">
        <f t="shared" ref="S3:S9" si="9">Q3-R3</f>
        <v>0</v>
      </c>
    </row>
    <row r="4" spans="1:19" s="209" customFormat="1" ht="12.75" x14ac:dyDescent="0.2">
      <c r="A4" s="328" t="s">
        <v>368</v>
      </c>
      <c r="B4" s="329">
        <v>418.67</v>
      </c>
      <c r="C4" s="329">
        <f>B4</f>
        <v>418.67</v>
      </c>
      <c r="D4" s="329">
        <f t="shared" ref="D4:D9" si="10">B4-C4</f>
        <v>0</v>
      </c>
      <c r="E4" s="329">
        <v>0</v>
      </c>
      <c r="F4" s="329">
        <f t="shared" ref="F4:F9" si="11">E4</f>
        <v>0</v>
      </c>
      <c r="G4" s="329">
        <f t="shared" ref="G4:G9" si="12">E4-F4</f>
        <v>0</v>
      </c>
      <c r="H4" s="329">
        <v>418.67</v>
      </c>
      <c r="I4" s="329">
        <f t="shared" ref="I4:I9" si="13">H4</f>
        <v>418.67</v>
      </c>
      <c r="J4" s="327">
        <f t="shared" si="3"/>
        <v>0</v>
      </c>
      <c r="K4" s="327">
        <f t="shared" si="4"/>
        <v>418.67</v>
      </c>
      <c r="L4" s="327">
        <f t="shared" si="5"/>
        <v>418.67</v>
      </c>
      <c r="M4" s="327">
        <f t="shared" si="6"/>
        <v>0</v>
      </c>
      <c r="N4" s="327">
        <f t="shared" ref="N4:N9" si="14">K4</f>
        <v>418.67</v>
      </c>
      <c r="O4" s="327">
        <f t="shared" si="7"/>
        <v>418.67</v>
      </c>
      <c r="P4" s="327">
        <f t="shared" si="8"/>
        <v>0</v>
      </c>
      <c r="Q4" s="327">
        <f t="shared" ref="Q4:Q9" si="15">N4</f>
        <v>418.67</v>
      </c>
      <c r="R4" s="327">
        <f t="shared" si="7"/>
        <v>418.67</v>
      </c>
      <c r="S4" s="327">
        <f t="shared" si="9"/>
        <v>0</v>
      </c>
    </row>
    <row r="5" spans="1:19" s="312" customFormat="1" ht="12.75" x14ac:dyDescent="0.2">
      <c r="A5" s="328" t="s">
        <v>369</v>
      </c>
      <c r="B5" s="329">
        <v>0</v>
      </c>
      <c r="C5" s="329">
        <f>B5</f>
        <v>0</v>
      </c>
      <c r="D5" s="329">
        <f>B5-C5</f>
        <v>0</v>
      </c>
      <c r="E5" s="329">
        <v>0</v>
      </c>
      <c r="F5" s="329">
        <f t="shared" ref="F5" si="16">E5</f>
        <v>0</v>
      </c>
      <c r="G5" s="329">
        <f t="shared" ref="G5" si="17">E5-F5</f>
        <v>0</v>
      </c>
      <c r="H5" s="329">
        <v>418.67</v>
      </c>
      <c r="I5" s="329">
        <f t="shared" ref="I5" si="18">H5</f>
        <v>418.67</v>
      </c>
      <c r="J5" s="327">
        <f t="shared" ref="J5" si="19">H5-I5</f>
        <v>0</v>
      </c>
      <c r="K5" s="327">
        <f t="shared" ref="K5" si="20">H5</f>
        <v>418.67</v>
      </c>
      <c r="L5" s="327">
        <f t="shared" ref="L5" si="21">K5</f>
        <v>418.67</v>
      </c>
      <c r="M5" s="327">
        <f t="shared" ref="M5" si="22">K5-L5</f>
        <v>0</v>
      </c>
      <c r="N5" s="327">
        <f t="shared" ref="N5" si="23">K5</f>
        <v>418.67</v>
      </c>
      <c r="O5" s="327">
        <f t="shared" ref="O5" si="24">N5</f>
        <v>418.67</v>
      </c>
      <c r="P5" s="327">
        <f t="shared" ref="P5" si="25">N5-O5</f>
        <v>0</v>
      </c>
      <c r="Q5" s="327">
        <f t="shared" ref="Q5" si="26">N5</f>
        <v>418.67</v>
      </c>
      <c r="R5" s="327">
        <f t="shared" ref="R5" si="27">Q5</f>
        <v>418.67</v>
      </c>
      <c r="S5" s="327">
        <f t="shared" ref="S5" si="28">Q5-R5</f>
        <v>0</v>
      </c>
    </row>
    <row r="6" spans="1:19" s="209" customFormat="1" ht="12.75" x14ac:dyDescent="0.2">
      <c r="A6" s="328" t="s">
        <v>370</v>
      </c>
      <c r="B6" s="329">
        <v>418.67</v>
      </c>
      <c r="C6" s="329">
        <f t="shared" ref="C6:C9" si="29">B6</f>
        <v>418.67</v>
      </c>
      <c r="D6" s="329">
        <f t="shared" si="10"/>
        <v>0</v>
      </c>
      <c r="E6" s="329">
        <v>0</v>
      </c>
      <c r="F6" s="329">
        <f t="shared" si="11"/>
        <v>0</v>
      </c>
      <c r="G6" s="329">
        <f t="shared" si="12"/>
        <v>0</v>
      </c>
      <c r="H6" s="329">
        <v>0</v>
      </c>
      <c r="I6" s="329">
        <f>H6</f>
        <v>0</v>
      </c>
      <c r="J6" s="327">
        <f t="shared" si="3"/>
        <v>0</v>
      </c>
      <c r="K6" s="327">
        <v>0</v>
      </c>
      <c r="L6" s="327">
        <f t="shared" si="5"/>
        <v>0</v>
      </c>
      <c r="M6" s="327">
        <f t="shared" si="6"/>
        <v>0</v>
      </c>
      <c r="N6" s="327">
        <v>-418.67</v>
      </c>
      <c r="O6" s="327">
        <f t="shared" si="7"/>
        <v>-418.67</v>
      </c>
      <c r="P6" s="327">
        <f t="shared" si="8"/>
        <v>0</v>
      </c>
      <c r="Q6" s="327">
        <v>0</v>
      </c>
      <c r="R6" s="327">
        <f t="shared" si="7"/>
        <v>0</v>
      </c>
      <c r="S6" s="327">
        <f t="shared" si="9"/>
        <v>0</v>
      </c>
    </row>
    <row r="7" spans="1:19" s="312" customFormat="1" ht="12.75" x14ac:dyDescent="0.2">
      <c r="A7" s="219" t="s">
        <v>371</v>
      </c>
      <c r="B7" s="329">
        <v>418.67</v>
      </c>
      <c r="C7" s="329">
        <f t="shared" si="29"/>
        <v>418.67</v>
      </c>
      <c r="D7" s="329">
        <f t="shared" si="10"/>
        <v>0</v>
      </c>
      <c r="E7" s="329">
        <v>0</v>
      </c>
      <c r="F7" s="329">
        <f t="shared" si="11"/>
        <v>0</v>
      </c>
      <c r="G7" s="329">
        <f t="shared" si="12"/>
        <v>0</v>
      </c>
      <c r="H7" s="329">
        <v>0</v>
      </c>
      <c r="I7" s="329">
        <f t="shared" si="13"/>
        <v>0</v>
      </c>
      <c r="J7" s="327">
        <f t="shared" si="3"/>
        <v>0</v>
      </c>
      <c r="K7" s="327">
        <f t="shared" si="4"/>
        <v>0</v>
      </c>
      <c r="L7" s="327">
        <f t="shared" si="5"/>
        <v>0</v>
      </c>
      <c r="M7" s="327">
        <f t="shared" si="6"/>
        <v>0</v>
      </c>
      <c r="N7" s="327">
        <f t="shared" si="14"/>
        <v>0</v>
      </c>
      <c r="O7" s="327">
        <f t="shared" si="7"/>
        <v>0</v>
      </c>
      <c r="P7" s="327">
        <f t="shared" si="8"/>
        <v>0</v>
      </c>
      <c r="Q7" s="327">
        <f t="shared" si="15"/>
        <v>0</v>
      </c>
      <c r="R7" s="327">
        <f t="shared" si="7"/>
        <v>0</v>
      </c>
      <c r="S7" s="327">
        <f t="shared" si="9"/>
        <v>0</v>
      </c>
    </row>
    <row r="8" spans="1:19" ht="12.75" x14ac:dyDescent="0.2">
      <c r="A8" s="219" t="s">
        <v>374</v>
      </c>
      <c r="B8" s="329">
        <v>0</v>
      </c>
      <c r="C8" s="329">
        <f t="shared" ref="C8" si="30">B8</f>
        <v>0</v>
      </c>
      <c r="D8" s="329">
        <f t="shared" ref="D8" si="31">B8-C8</f>
        <v>0</v>
      </c>
      <c r="E8" s="329">
        <v>0</v>
      </c>
      <c r="F8" s="329">
        <f t="shared" ref="F8" si="32">E8</f>
        <v>0</v>
      </c>
      <c r="G8" s="329">
        <f t="shared" ref="G8" si="33">E8-F8</f>
        <v>0</v>
      </c>
      <c r="H8" s="329">
        <v>418.67</v>
      </c>
      <c r="I8" s="329">
        <f t="shared" ref="I8" si="34">H8</f>
        <v>418.67</v>
      </c>
      <c r="J8" s="327">
        <f t="shared" ref="J8" si="35">H8-I8</f>
        <v>0</v>
      </c>
      <c r="K8" s="327">
        <f t="shared" ref="K8" si="36">H8</f>
        <v>418.67</v>
      </c>
      <c r="L8" s="327">
        <f t="shared" ref="L8" si="37">K8</f>
        <v>418.67</v>
      </c>
      <c r="M8" s="327">
        <f t="shared" ref="M8" si="38">K8-L8</f>
        <v>0</v>
      </c>
      <c r="N8" s="327">
        <f t="shared" ref="N8" si="39">K8</f>
        <v>418.67</v>
      </c>
      <c r="O8" s="327">
        <f t="shared" ref="O8" si="40">N8</f>
        <v>418.67</v>
      </c>
      <c r="P8" s="327">
        <f t="shared" ref="P8" si="41">N8-O8</f>
        <v>0</v>
      </c>
      <c r="Q8" s="327">
        <f t="shared" ref="Q8" si="42">N8</f>
        <v>418.67</v>
      </c>
      <c r="R8" s="327">
        <f t="shared" ref="R8" si="43">Q8</f>
        <v>418.67</v>
      </c>
      <c r="S8" s="327">
        <f t="shared" ref="S8" si="44">Q8-R8</f>
        <v>0</v>
      </c>
    </row>
    <row r="9" spans="1:19" ht="12.75" x14ac:dyDescent="0.2">
      <c r="A9" s="219" t="s">
        <v>370</v>
      </c>
      <c r="B9" s="329">
        <v>418.67</v>
      </c>
      <c r="C9" s="329">
        <f t="shared" si="29"/>
        <v>418.67</v>
      </c>
      <c r="D9" s="329">
        <f t="shared" si="10"/>
        <v>0</v>
      </c>
      <c r="E9" s="329">
        <v>418.67</v>
      </c>
      <c r="F9" s="329">
        <f t="shared" si="11"/>
        <v>418.67</v>
      </c>
      <c r="G9" s="329">
        <f t="shared" si="12"/>
        <v>0</v>
      </c>
      <c r="H9" s="329">
        <v>418.67</v>
      </c>
      <c r="I9" s="329">
        <f t="shared" si="13"/>
        <v>418.67</v>
      </c>
      <c r="J9" s="327">
        <f t="shared" si="3"/>
        <v>0</v>
      </c>
      <c r="K9" s="327">
        <f t="shared" si="4"/>
        <v>418.67</v>
      </c>
      <c r="L9" s="327">
        <f t="shared" si="5"/>
        <v>418.67</v>
      </c>
      <c r="M9" s="327">
        <f t="shared" si="6"/>
        <v>0</v>
      </c>
      <c r="N9" s="327">
        <f t="shared" si="14"/>
        <v>418.67</v>
      </c>
      <c r="O9" s="327">
        <f t="shared" si="7"/>
        <v>418.67</v>
      </c>
      <c r="P9" s="327">
        <f t="shared" si="8"/>
        <v>0</v>
      </c>
      <c r="Q9" s="327">
        <f t="shared" si="15"/>
        <v>418.67</v>
      </c>
      <c r="R9" s="327">
        <f t="shared" si="7"/>
        <v>418.67</v>
      </c>
      <c r="S9" s="327">
        <f t="shared" si="9"/>
        <v>0</v>
      </c>
    </row>
    <row r="10" spans="1:19" ht="12.75" x14ac:dyDescent="0.2">
      <c r="A10" s="41" t="s">
        <v>34</v>
      </c>
      <c r="B10" s="330">
        <f>SUM(B3:B9)</f>
        <v>2093.35</v>
      </c>
      <c r="C10" s="330">
        <f t="shared" ref="C10:S10" si="45">SUM(C3:C9)</f>
        <v>2093.35</v>
      </c>
      <c r="D10" s="330">
        <f t="shared" si="45"/>
        <v>0</v>
      </c>
      <c r="E10" s="330">
        <f t="shared" si="45"/>
        <v>418.67</v>
      </c>
      <c r="F10" s="330">
        <f t="shared" si="45"/>
        <v>418.67</v>
      </c>
      <c r="G10" s="330">
        <f t="shared" si="45"/>
        <v>0</v>
      </c>
      <c r="H10" s="330">
        <f t="shared" si="45"/>
        <v>2093.35</v>
      </c>
      <c r="I10" s="330">
        <f t="shared" si="45"/>
        <v>2093.35</v>
      </c>
      <c r="J10" s="330">
        <f t="shared" si="45"/>
        <v>0</v>
      </c>
      <c r="K10" s="330">
        <f t="shared" si="45"/>
        <v>2093.35</v>
      </c>
      <c r="L10" s="330">
        <f t="shared" si="45"/>
        <v>2093.35</v>
      </c>
      <c r="M10" s="330">
        <f t="shared" si="45"/>
        <v>0</v>
      </c>
      <c r="N10" s="330">
        <f t="shared" si="45"/>
        <v>1256.01</v>
      </c>
      <c r="O10" s="330">
        <f t="shared" si="45"/>
        <v>1256.01</v>
      </c>
      <c r="P10" s="330">
        <f t="shared" si="45"/>
        <v>0</v>
      </c>
      <c r="Q10" s="330">
        <f t="shared" si="45"/>
        <v>2093.35</v>
      </c>
      <c r="R10" s="330">
        <f t="shared" si="45"/>
        <v>2093.35</v>
      </c>
      <c r="S10" s="330">
        <f t="shared" si="45"/>
        <v>0</v>
      </c>
    </row>
    <row r="11" spans="1:19" ht="12.75" x14ac:dyDescent="0.2">
      <c r="A11" s="328" t="s">
        <v>367</v>
      </c>
      <c r="B11" s="329">
        <v>0</v>
      </c>
      <c r="C11" s="329">
        <f t="shared" ref="C11" si="46">B11</f>
        <v>0</v>
      </c>
      <c r="D11" s="329">
        <f t="shared" ref="D11" si="47">B11-C11</f>
        <v>0</v>
      </c>
      <c r="E11" s="329">
        <v>0</v>
      </c>
      <c r="F11" s="329">
        <f t="shared" ref="F11" si="48">E11</f>
        <v>0</v>
      </c>
      <c r="G11" s="329">
        <f t="shared" ref="G11" si="49">E11-F11</f>
        <v>0</v>
      </c>
      <c r="H11" s="329">
        <v>418.67</v>
      </c>
      <c r="I11" s="329">
        <f>H11</f>
        <v>418.67</v>
      </c>
      <c r="J11" s="327">
        <f t="shared" ref="J11" si="50">H11-I11</f>
        <v>0</v>
      </c>
      <c r="K11" s="327">
        <v>418.67</v>
      </c>
      <c r="L11" s="327">
        <f t="shared" ref="L11" si="51">K11</f>
        <v>418.67</v>
      </c>
      <c r="M11" s="327">
        <f t="shared" ref="M11" si="52">K11-L11</f>
        <v>0</v>
      </c>
      <c r="N11" s="327">
        <f>-(418.67*2)</f>
        <v>-837.34</v>
      </c>
      <c r="O11" s="327">
        <f t="shared" ref="O11" si="53">N11</f>
        <v>-837.34</v>
      </c>
      <c r="P11" s="327">
        <f t="shared" ref="P11" si="54">N11-O11</f>
        <v>0</v>
      </c>
      <c r="Q11" s="327">
        <v>418.67</v>
      </c>
      <c r="R11" s="327">
        <f>Q11</f>
        <v>418.67</v>
      </c>
      <c r="S11" s="327">
        <f>Q11-R11</f>
        <v>0</v>
      </c>
    </row>
    <row r="12" spans="1:19" ht="12.75" x14ac:dyDescent="0.2">
      <c r="A12" s="219" t="s">
        <v>368</v>
      </c>
      <c r="B12" s="329">
        <v>0</v>
      </c>
      <c r="C12" s="329">
        <f>B12</f>
        <v>0</v>
      </c>
      <c r="D12" s="329">
        <f>B12-C12</f>
        <v>0</v>
      </c>
      <c r="E12" s="329">
        <v>0</v>
      </c>
      <c r="F12" s="329">
        <f>E12</f>
        <v>0</v>
      </c>
      <c r="G12" s="329">
        <f>E12-F12</f>
        <v>0</v>
      </c>
      <c r="H12" s="329">
        <v>418.67</v>
      </c>
      <c r="I12" s="329">
        <f>H12</f>
        <v>418.67</v>
      </c>
      <c r="J12" s="327">
        <f>H12-I12</f>
        <v>0</v>
      </c>
      <c r="K12" s="327">
        <f>H12</f>
        <v>418.67</v>
      </c>
      <c r="L12" s="327">
        <f>K12</f>
        <v>418.67</v>
      </c>
      <c r="M12" s="327">
        <f>K12-L12</f>
        <v>0</v>
      </c>
      <c r="N12" s="327">
        <f>-418.67*2</f>
        <v>-837.34</v>
      </c>
      <c r="O12" s="327">
        <f>N12</f>
        <v>-837.34</v>
      </c>
      <c r="P12" s="327">
        <f>N12-O12</f>
        <v>0</v>
      </c>
      <c r="Q12" s="327">
        <v>418.67</v>
      </c>
      <c r="R12" s="327">
        <f>Q12</f>
        <v>418.67</v>
      </c>
      <c r="S12" s="327">
        <f>Q12-R12</f>
        <v>0</v>
      </c>
    </row>
    <row r="13" spans="1:19" ht="12.75" x14ac:dyDescent="0.2">
      <c r="A13" s="219" t="s">
        <v>369</v>
      </c>
      <c r="B13" s="329">
        <v>0</v>
      </c>
      <c r="C13" s="329">
        <f>B13</f>
        <v>0</v>
      </c>
      <c r="D13" s="329">
        <f>B13-C13</f>
        <v>0</v>
      </c>
      <c r="E13" s="329">
        <v>0</v>
      </c>
      <c r="F13" s="329">
        <f>E13</f>
        <v>0</v>
      </c>
      <c r="G13" s="329">
        <f>E13-F13</f>
        <v>0</v>
      </c>
      <c r="H13" s="329">
        <v>418.67</v>
      </c>
      <c r="I13" s="329">
        <f>H13</f>
        <v>418.67</v>
      </c>
      <c r="J13" s="327">
        <f>H13-I13</f>
        <v>0</v>
      </c>
      <c r="K13" s="327">
        <f>H13</f>
        <v>418.67</v>
      </c>
      <c r="L13" s="327">
        <f>K13</f>
        <v>418.67</v>
      </c>
      <c r="M13" s="327">
        <f>K13-L13</f>
        <v>0</v>
      </c>
      <c r="N13" s="327">
        <f>-418.67*2</f>
        <v>-837.34</v>
      </c>
      <c r="O13" s="327">
        <f>N13</f>
        <v>-837.34</v>
      </c>
      <c r="P13" s="327">
        <f>N13-O13</f>
        <v>0</v>
      </c>
      <c r="Q13" s="327">
        <v>418.67</v>
      </c>
      <c r="R13" s="327">
        <f>Q13</f>
        <v>418.67</v>
      </c>
      <c r="S13" s="327">
        <f>Q13-R13</f>
        <v>0</v>
      </c>
    </row>
    <row r="14" spans="1:19" ht="12.75" x14ac:dyDescent="0.2">
      <c r="A14" s="41" t="s">
        <v>336</v>
      </c>
      <c r="B14" s="331">
        <f>SUM(B11:B13)</f>
        <v>0</v>
      </c>
      <c r="C14" s="331">
        <f t="shared" ref="C14:S14" si="55">SUM(C11:C13)</f>
        <v>0</v>
      </c>
      <c r="D14" s="331">
        <f t="shared" si="55"/>
        <v>0</v>
      </c>
      <c r="E14" s="331">
        <f t="shared" si="55"/>
        <v>0</v>
      </c>
      <c r="F14" s="331">
        <f t="shared" si="55"/>
        <v>0</v>
      </c>
      <c r="G14" s="331">
        <f t="shared" si="55"/>
        <v>0</v>
      </c>
      <c r="H14" s="331">
        <f t="shared" si="55"/>
        <v>1256.01</v>
      </c>
      <c r="I14" s="331">
        <f t="shared" si="55"/>
        <v>1256.01</v>
      </c>
      <c r="J14" s="331">
        <f t="shared" si="55"/>
        <v>0</v>
      </c>
      <c r="K14" s="331">
        <f t="shared" si="55"/>
        <v>1256.01</v>
      </c>
      <c r="L14" s="331">
        <f t="shared" si="55"/>
        <v>1256.01</v>
      </c>
      <c r="M14" s="331">
        <f t="shared" si="55"/>
        <v>0</v>
      </c>
      <c r="N14" s="331">
        <f t="shared" si="55"/>
        <v>-2512.02</v>
      </c>
      <c r="O14" s="331">
        <f t="shared" si="55"/>
        <v>-2512.02</v>
      </c>
      <c r="P14" s="331">
        <f t="shared" si="55"/>
        <v>0</v>
      </c>
      <c r="Q14" s="331">
        <f t="shared" si="55"/>
        <v>1256.01</v>
      </c>
      <c r="R14" s="331">
        <f t="shared" si="55"/>
        <v>1256.01</v>
      </c>
      <c r="S14" s="331">
        <f t="shared" si="55"/>
        <v>0</v>
      </c>
    </row>
    <row r="15" spans="1:19" ht="12.75" x14ac:dyDescent="0.2">
      <c r="A15" s="41" t="s">
        <v>291</v>
      </c>
      <c r="B15" s="331">
        <f>B14+B10</f>
        <v>2093.35</v>
      </c>
      <c r="C15" s="331">
        <f t="shared" ref="C15:S15" si="56">C14+C10</f>
        <v>2093.35</v>
      </c>
      <c r="D15" s="331">
        <f t="shared" si="56"/>
        <v>0</v>
      </c>
      <c r="E15" s="331">
        <f t="shared" si="56"/>
        <v>418.67</v>
      </c>
      <c r="F15" s="331">
        <f t="shared" si="56"/>
        <v>418.67</v>
      </c>
      <c r="G15" s="331">
        <f t="shared" si="56"/>
        <v>0</v>
      </c>
      <c r="H15" s="331">
        <f t="shared" si="56"/>
        <v>3349.3599999999997</v>
      </c>
      <c r="I15" s="331">
        <f t="shared" si="56"/>
        <v>3349.3599999999997</v>
      </c>
      <c r="J15" s="331">
        <f t="shared" si="56"/>
        <v>0</v>
      </c>
      <c r="K15" s="331">
        <f t="shared" si="56"/>
        <v>3349.3599999999997</v>
      </c>
      <c r="L15" s="331">
        <f t="shared" si="56"/>
        <v>3349.3599999999997</v>
      </c>
      <c r="M15" s="331">
        <f t="shared" si="56"/>
        <v>0</v>
      </c>
      <c r="N15" s="331">
        <f t="shared" si="56"/>
        <v>-1256.01</v>
      </c>
      <c r="O15" s="331">
        <f t="shared" si="56"/>
        <v>-1256.01</v>
      </c>
      <c r="P15" s="331">
        <f t="shared" si="56"/>
        <v>0</v>
      </c>
      <c r="Q15" s="331">
        <f t="shared" si="56"/>
        <v>3349.3599999999997</v>
      </c>
      <c r="R15" s="331">
        <f t="shared" si="56"/>
        <v>3349.3599999999997</v>
      </c>
      <c r="S15" s="331">
        <f t="shared" si="56"/>
        <v>0</v>
      </c>
    </row>
    <row r="16" spans="1:19" ht="12.75" x14ac:dyDescent="0.2">
      <c r="A16" s="219"/>
      <c r="B16" s="403" t="s">
        <v>130</v>
      </c>
      <c r="C16" s="403"/>
      <c r="D16" s="403"/>
      <c r="E16" s="403" t="s">
        <v>131</v>
      </c>
      <c r="F16" s="403"/>
      <c r="G16" s="403"/>
      <c r="H16" s="403" t="s">
        <v>132</v>
      </c>
      <c r="I16" s="403"/>
      <c r="J16" s="403"/>
      <c r="K16" s="404" t="s">
        <v>133</v>
      </c>
      <c r="L16" s="404"/>
      <c r="M16" s="404"/>
      <c r="N16" s="404" t="s">
        <v>15</v>
      </c>
      <c r="O16" s="404"/>
      <c r="P16" s="404"/>
      <c r="Q16" s="404" t="s">
        <v>134</v>
      </c>
      <c r="R16" s="404"/>
      <c r="S16" s="404"/>
    </row>
    <row r="17" spans="1:21" ht="12.75" x14ac:dyDescent="0.2">
      <c r="A17" s="219"/>
      <c r="B17" s="332" t="s">
        <v>34</v>
      </c>
      <c r="C17" s="332" t="s">
        <v>31</v>
      </c>
      <c r="D17" s="332" t="s">
        <v>32</v>
      </c>
      <c r="E17" s="332" t="s">
        <v>34</v>
      </c>
      <c r="F17" s="332" t="s">
        <v>31</v>
      </c>
      <c r="G17" s="332" t="s">
        <v>32</v>
      </c>
      <c r="H17" s="332" t="s">
        <v>34</v>
      </c>
      <c r="I17" s="332" t="s">
        <v>31</v>
      </c>
      <c r="J17" s="332" t="s">
        <v>32</v>
      </c>
      <c r="K17" s="327" t="s">
        <v>34</v>
      </c>
      <c r="L17" s="327" t="s">
        <v>31</v>
      </c>
      <c r="M17" s="327" t="s">
        <v>32</v>
      </c>
      <c r="N17" s="327" t="s">
        <v>34</v>
      </c>
      <c r="O17" s="327" t="s">
        <v>31</v>
      </c>
      <c r="P17" s="327" t="s">
        <v>32</v>
      </c>
      <c r="Q17" s="327" t="s">
        <v>34</v>
      </c>
      <c r="R17" s="327" t="s">
        <v>31</v>
      </c>
      <c r="S17" s="327" t="s">
        <v>32</v>
      </c>
      <c r="U17" s="285"/>
    </row>
    <row r="18" spans="1:21" ht="12.75" x14ac:dyDescent="0.2">
      <c r="A18" s="55" t="s">
        <v>367</v>
      </c>
      <c r="B18" s="327">
        <f>12.53*4</f>
        <v>50.12</v>
      </c>
      <c r="C18" s="327">
        <f>B18</f>
        <v>50.12</v>
      </c>
      <c r="D18" s="327">
        <f>B18-C18</f>
        <v>0</v>
      </c>
      <c r="E18" s="327">
        <v>0</v>
      </c>
      <c r="F18" s="327">
        <f t="shared" ref="F18" si="57">E18</f>
        <v>0</v>
      </c>
      <c r="G18" s="327">
        <f t="shared" ref="G18" si="58">E18-F18</f>
        <v>0</v>
      </c>
      <c r="H18" s="327">
        <v>0</v>
      </c>
      <c r="I18" s="327">
        <f t="shared" ref="I18:I20" si="59">H18</f>
        <v>0</v>
      </c>
      <c r="J18" s="327">
        <f t="shared" ref="J18:J27" si="60">H18-I18</f>
        <v>0</v>
      </c>
      <c r="K18" s="327">
        <f t="shared" ref="K18:K20" si="61">H18</f>
        <v>0</v>
      </c>
      <c r="L18" s="327">
        <f t="shared" ref="L18:L27" si="62">K18</f>
        <v>0</v>
      </c>
      <c r="M18" s="327">
        <f t="shared" ref="M18:M27" si="63">K18-L18</f>
        <v>0</v>
      </c>
      <c r="N18" s="327">
        <f t="shared" ref="N18:N27" si="64">K18</f>
        <v>0</v>
      </c>
      <c r="O18" s="327">
        <f t="shared" ref="O18:O27" si="65">N18</f>
        <v>0</v>
      </c>
      <c r="P18" s="327">
        <f t="shared" ref="P18:P27" si="66">N18-O18</f>
        <v>0</v>
      </c>
      <c r="Q18" s="327">
        <f t="shared" ref="Q18:Q20" si="67">N18</f>
        <v>0</v>
      </c>
      <c r="R18" s="327">
        <f t="shared" ref="R18:R27" si="68">Q18</f>
        <v>0</v>
      </c>
      <c r="S18" s="327">
        <f t="shared" ref="S18:S27" si="69">Q18-R18</f>
        <v>0</v>
      </c>
      <c r="U18" s="285"/>
    </row>
    <row r="19" spans="1:21" ht="12.75" x14ac:dyDescent="0.2">
      <c r="A19" s="328" t="s">
        <v>368</v>
      </c>
      <c r="B19" s="329">
        <f>12.53*5</f>
        <v>62.65</v>
      </c>
      <c r="C19" s="329">
        <f>B19</f>
        <v>62.65</v>
      </c>
      <c r="D19" s="329">
        <f t="shared" ref="D19" si="70">B19-C19</f>
        <v>0</v>
      </c>
      <c r="E19" s="327">
        <v>0</v>
      </c>
      <c r="F19" s="327">
        <f t="shared" ref="F19:F27" si="71">E19</f>
        <v>0</v>
      </c>
      <c r="G19" s="327">
        <f t="shared" ref="G19:G27" si="72">E19-F19</f>
        <v>0</v>
      </c>
      <c r="H19" s="329">
        <v>0</v>
      </c>
      <c r="I19" s="329">
        <f t="shared" si="59"/>
        <v>0</v>
      </c>
      <c r="J19" s="327">
        <f t="shared" si="60"/>
        <v>0</v>
      </c>
      <c r="K19" s="327">
        <f t="shared" si="61"/>
        <v>0</v>
      </c>
      <c r="L19" s="327">
        <f t="shared" si="62"/>
        <v>0</v>
      </c>
      <c r="M19" s="327">
        <f t="shared" si="63"/>
        <v>0</v>
      </c>
      <c r="N19" s="327">
        <f t="shared" si="64"/>
        <v>0</v>
      </c>
      <c r="O19" s="327">
        <f t="shared" si="65"/>
        <v>0</v>
      </c>
      <c r="P19" s="327">
        <f t="shared" si="66"/>
        <v>0</v>
      </c>
      <c r="Q19" s="327">
        <f t="shared" si="67"/>
        <v>0</v>
      </c>
      <c r="R19" s="327">
        <f t="shared" si="68"/>
        <v>0</v>
      </c>
      <c r="S19" s="327">
        <f t="shared" si="69"/>
        <v>0</v>
      </c>
    </row>
    <row r="20" spans="1:21" ht="12.75" x14ac:dyDescent="0.2">
      <c r="A20" s="328" t="s">
        <v>369</v>
      </c>
      <c r="B20" s="329">
        <f>12.53*4</f>
        <v>50.12</v>
      </c>
      <c r="C20" s="329">
        <f>B20</f>
        <v>50.12</v>
      </c>
      <c r="D20" s="329">
        <f>B20-C20</f>
        <v>0</v>
      </c>
      <c r="E20" s="327">
        <v>0</v>
      </c>
      <c r="F20" s="327">
        <f t="shared" si="71"/>
        <v>0</v>
      </c>
      <c r="G20" s="327">
        <f t="shared" si="72"/>
        <v>0</v>
      </c>
      <c r="H20" s="329">
        <v>0</v>
      </c>
      <c r="I20" s="329">
        <f t="shared" si="59"/>
        <v>0</v>
      </c>
      <c r="J20" s="327">
        <f t="shared" si="60"/>
        <v>0</v>
      </c>
      <c r="K20" s="327">
        <f t="shared" si="61"/>
        <v>0</v>
      </c>
      <c r="L20" s="327">
        <f t="shared" si="62"/>
        <v>0</v>
      </c>
      <c r="M20" s="327">
        <f t="shared" si="63"/>
        <v>0</v>
      </c>
      <c r="N20" s="327">
        <f t="shared" si="64"/>
        <v>0</v>
      </c>
      <c r="O20" s="327">
        <f t="shared" si="65"/>
        <v>0</v>
      </c>
      <c r="P20" s="327">
        <f t="shared" si="66"/>
        <v>0</v>
      </c>
      <c r="Q20" s="327">
        <f t="shared" si="67"/>
        <v>0</v>
      </c>
      <c r="R20" s="327">
        <f t="shared" si="68"/>
        <v>0</v>
      </c>
      <c r="S20" s="327">
        <f t="shared" si="69"/>
        <v>0</v>
      </c>
    </row>
    <row r="21" spans="1:21" ht="12.75" x14ac:dyDescent="0.2">
      <c r="A21" s="328" t="s">
        <v>370</v>
      </c>
      <c r="B21" s="329">
        <v>0</v>
      </c>
      <c r="C21" s="329">
        <f t="shared" ref="C21:C27" si="73">B21</f>
        <v>0</v>
      </c>
      <c r="D21" s="329">
        <f t="shared" ref="D21:D27" si="74">B21-C21</f>
        <v>0</v>
      </c>
      <c r="E21" s="327">
        <f t="shared" ref="E21" si="75">B21</f>
        <v>0</v>
      </c>
      <c r="F21" s="327">
        <f t="shared" si="71"/>
        <v>0</v>
      </c>
      <c r="G21" s="327">
        <f t="shared" si="72"/>
        <v>0</v>
      </c>
      <c r="H21" s="329">
        <v>0</v>
      </c>
      <c r="I21" s="329">
        <f>H21</f>
        <v>0</v>
      </c>
      <c r="J21" s="327">
        <f t="shared" si="60"/>
        <v>0</v>
      </c>
      <c r="K21" s="327">
        <v>0</v>
      </c>
      <c r="L21" s="327">
        <f t="shared" si="62"/>
        <v>0</v>
      </c>
      <c r="M21" s="327">
        <f t="shared" si="63"/>
        <v>0</v>
      </c>
      <c r="N21" s="327">
        <f t="shared" si="64"/>
        <v>0</v>
      </c>
      <c r="O21" s="327">
        <f t="shared" si="65"/>
        <v>0</v>
      </c>
      <c r="P21" s="327">
        <f t="shared" si="66"/>
        <v>0</v>
      </c>
      <c r="Q21" s="327">
        <v>0</v>
      </c>
      <c r="R21" s="327">
        <f t="shared" si="68"/>
        <v>0</v>
      </c>
      <c r="S21" s="327">
        <f t="shared" si="69"/>
        <v>0</v>
      </c>
    </row>
    <row r="22" spans="1:21" ht="12.75" x14ac:dyDescent="0.2">
      <c r="A22" s="219" t="s">
        <v>371</v>
      </c>
      <c r="B22" s="329">
        <f>431.2+12.53</f>
        <v>443.72999999999996</v>
      </c>
      <c r="C22" s="329">
        <f t="shared" si="73"/>
        <v>443.72999999999996</v>
      </c>
      <c r="D22" s="329">
        <f t="shared" si="74"/>
        <v>0</v>
      </c>
      <c r="E22" s="327">
        <v>431.2</v>
      </c>
      <c r="F22" s="327">
        <f t="shared" si="71"/>
        <v>431.2</v>
      </c>
      <c r="G22" s="327">
        <f t="shared" si="72"/>
        <v>0</v>
      </c>
      <c r="H22" s="329">
        <f>F22</f>
        <v>431.2</v>
      </c>
      <c r="I22" s="329">
        <f>H22</f>
        <v>431.2</v>
      </c>
      <c r="J22" s="327">
        <f t="shared" si="60"/>
        <v>0</v>
      </c>
      <c r="K22" s="327">
        <f t="shared" ref="K22:K27" si="76">H22</f>
        <v>431.2</v>
      </c>
      <c r="L22" s="327">
        <f t="shared" si="62"/>
        <v>431.2</v>
      </c>
      <c r="M22" s="327">
        <f t="shared" si="63"/>
        <v>0</v>
      </c>
      <c r="N22" s="327">
        <f t="shared" si="64"/>
        <v>431.2</v>
      </c>
      <c r="O22" s="327">
        <f t="shared" si="65"/>
        <v>431.2</v>
      </c>
      <c r="P22" s="327">
        <f t="shared" si="66"/>
        <v>0</v>
      </c>
      <c r="Q22" s="327">
        <f t="shared" ref="Q22:Q27" si="77">N22</f>
        <v>431.2</v>
      </c>
      <c r="R22" s="327">
        <f t="shared" si="68"/>
        <v>431.2</v>
      </c>
      <c r="S22" s="327">
        <f t="shared" si="69"/>
        <v>0</v>
      </c>
    </row>
    <row r="23" spans="1:21" ht="12.75" x14ac:dyDescent="0.2">
      <c r="A23" s="328" t="s">
        <v>374</v>
      </c>
      <c r="B23" s="329">
        <v>0</v>
      </c>
      <c r="C23" s="329">
        <v>0</v>
      </c>
      <c r="D23" s="329">
        <v>0</v>
      </c>
      <c r="E23" s="327">
        <v>0</v>
      </c>
      <c r="F23" s="327">
        <v>0</v>
      </c>
      <c r="G23" s="327">
        <f t="shared" si="72"/>
        <v>0</v>
      </c>
      <c r="H23" s="329">
        <v>0</v>
      </c>
      <c r="I23" s="329">
        <v>0</v>
      </c>
      <c r="J23" s="327">
        <f t="shared" si="60"/>
        <v>0</v>
      </c>
      <c r="K23" s="327">
        <v>431.2</v>
      </c>
      <c r="L23" s="327">
        <f>K23</f>
        <v>431.2</v>
      </c>
      <c r="M23" s="327">
        <f t="shared" si="63"/>
        <v>0</v>
      </c>
      <c r="N23" s="327">
        <f t="shared" ref="N23" si="78">K23</f>
        <v>431.2</v>
      </c>
      <c r="O23" s="327">
        <f t="shared" ref="O23" si="79">N23</f>
        <v>431.2</v>
      </c>
      <c r="P23" s="327">
        <f t="shared" ref="P23" si="80">N23-O23</f>
        <v>0</v>
      </c>
      <c r="Q23" s="327">
        <f t="shared" ref="Q23" si="81">N23</f>
        <v>431.2</v>
      </c>
      <c r="R23" s="327">
        <f t="shared" ref="R23" si="82">Q23</f>
        <v>431.2</v>
      </c>
      <c r="S23" s="327">
        <f t="shared" ref="S23" si="83">Q23-R23</f>
        <v>0</v>
      </c>
    </row>
    <row r="24" spans="1:21" ht="12.75" x14ac:dyDescent="0.2">
      <c r="A24" s="219" t="s">
        <v>375</v>
      </c>
      <c r="B24" s="329">
        <f>431.2+(12.53*4)</f>
        <v>481.32</v>
      </c>
      <c r="C24" s="329">
        <f t="shared" si="73"/>
        <v>481.32</v>
      </c>
      <c r="D24" s="329">
        <f t="shared" si="74"/>
        <v>0</v>
      </c>
      <c r="E24" s="327">
        <v>431.2</v>
      </c>
      <c r="F24" s="327">
        <f t="shared" si="71"/>
        <v>431.2</v>
      </c>
      <c r="G24" s="327">
        <f t="shared" si="72"/>
        <v>0</v>
      </c>
      <c r="H24" s="329">
        <v>431.2</v>
      </c>
      <c r="I24" s="329">
        <f t="shared" ref="I24:I27" si="84">H24</f>
        <v>431.2</v>
      </c>
      <c r="J24" s="327">
        <f t="shared" si="60"/>
        <v>0</v>
      </c>
      <c r="K24" s="327">
        <f t="shared" si="76"/>
        <v>431.2</v>
      </c>
      <c r="L24" s="327">
        <f t="shared" si="62"/>
        <v>431.2</v>
      </c>
      <c r="M24" s="327">
        <f t="shared" si="63"/>
        <v>0</v>
      </c>
      <c r="N24" s="327">
        <f t="shared" si="64"/>
        <v>431.2</v>
      </c>
      <c r="O24" s="327">
        <f t="shared" si="65"/>
        <v>431.2</v>
      </c>
      <c r="P24" s="327">
        <f t="shared" si="66"/>
        <v>0</v>
      </c>
      <c r="Q24" s="327">
        <f t="shared" si="77"/>
        <v>431.2</v>
      </c>
      <c r="R24" s="327">
        <f t="shared" si="68"/>
        <v>431.2</v>
      </c>
      <c r="S24" s="327">
        <f t="shared" si="69"/>
        <v>0</v>
      </c>
    </row>
    <row r="25" spans="1:21" ht="12.75" x14ac:dyDescent="0.2">
      <c r="A25" s="328" t="s">
        <v>378</v>
      </c>
      <c r="B25" s="329">
        <v>0</v>
      </c>
      <c r="C25" s="329">
        <f>B25</f>
        <v>0</v>
      </c>
      <c r="D25" s="329">
        <f t="shared" si="74"/>
        <v>0</v>
      </c>
      <c r="E25" s="327">
        <v>0</v>
      </c>
      <c r="F25" s="327">
        <f t="shared" si="71"/>
        <v>0</v>
      </c>
      <c r="G25" s="327">
        <f t="shared" si="72"/>
        <v>0</v>
      </c>
      <c r="H25" s="329">
        <v>0</v>
      </c>
      <c r="I25" s="329">
        <f t="shared" si="84"/>
        <v>0</v>
      </c>
      <c r="J25" s="327">
        <f t="shared" si="60"/>
        <v>0</v>
      </c>
      <c r="K25" s="327">
        <v>431.2</v>
      </c>
      <c r="L25" s="327">
        <f>K25</f>
        <v>431.2</v>
      </c>
      <c r="M25" s="327">
        <f t="shared" ref="M25:M26" si="85">K25-L25</f>
        <v>0</v>
      </c>
      <c r="N25" s="327">
        <f t="shared" ref="N25:N26" si="86">K25</f>
        <v>431.2</v>
      </c>
      <c r="O25" s="327">
        <f t="shared" ref="O25:O26" si="87">N25</f>
        <v>431.2</v>
      </c>
      <c r="P25" s="327">
        <f t="shared" ref="P25:P26" si="88">N25-O25</f>
        <v>0</v>
      </c>
      <c r="Q25" s="327">
        <f t="shared" ref="Q25:Q26" si="89">N25</f>
        <v>431.2</v>
      </c>
      <c r="R25" s="327">
        <f t="shared" ref="R25:R26" si="90">Q25</f>
        <v>431.2</v>
      </c>
      <c r="S25" s="327">
        <f t="shared" ref="S25:S26" si="91">Q25-R25</f>
        <v>0</v>
      </c>
    </row>
    <row r="26" spans="1:21" ht="12.75" x14ac:dyDescent="0.2">
      <c r="A26" s="328" t="s">
        <v>376</v>
      </c>
      <c r="B26" s="329">
        <v>0</v>
      </c>
      <c r="C26" s="329">
        <f>B26</f>
        <v>0</v>
      </c>
      <c r="D26" s="329">
        <f t="shared" si="74"/>
        <v>0</v>
      </c>
      <c r="E26" s="327">
        <v>0</v>
      </c>
      <c r="F26" s="327">
        <f t="shared" si="71"/>
        <v>0</v>
      </c>
      <c r="G26" s="327">
        <f t="shared" si="72"/>
        <v>0</v>
      </c>
      <c r="H26" s="329">
        <v>0</v>
      </c>
      <c r="I26" s="329">
        <f t="shared" si="84"/>
        <v>0</v>
      </c>
      <c r="J26" s="327">
        <f t="shared" si="60"/>
        <v>0</v>
      </c>
      <c r="K26" s="327">
        <v>431.2</v>
      </c>
      <c r="L26" s="327">
        <f>K26</f>
        <v>431.2</v>
      </c>
      <c r="M26" s="327">
        <f t="shared" si="85"/>
        <v>0</v>
      </c>
      <c r="N26" s="327">
        <f t="shared" si="86"/>
        <v>431.2</v>
      </c>
      <c r="O26" s="327">
        <f t="shared" si="87"/>
        <v>431.2</v>
      </c>
      <c r="P26" s="327">
        <f t="shared" si="88"/>
        <v>0</v>
      </c>
      <c r="Q26" s="327">
        <f t="shared" si="89"/>
        <v>431.2</v>
      </c>
      <c r="R26" s="327">
        <f t="shared" si="90"/>
        <v>431.2</v>
      </c>
      <c r="S26" s="327">
        <f t="shared" si="91"/>
        <v>0</v>
      </c>
    </row>
    <row r="27" spans="1:21" ht="12.75" x14ac:dyDescent="0.2">
      <c r="A27" s="219" t="s">
        <v>377</v>
      </c>
      <c r="B27" s="329">
        <f>431.2+(12.53*6)</f>
        <v>506.38</v>
      </c>
      <c r="C27" s="329">
        <f t="shared" si="73"/>
        <v>506.38</v>
      </c>
      <c r="D27" s="329">
        <f t="shared" si="74"/>
        <v>0</v>
      </c>
      <c r="E27" s="327">
        <v>431.2</v>
      </c>
      <c r="F27" s="327">
        <f t="shared" si="71"/>
        <v>431.2</v>
      </c>
      <c r="G27" s="327">
        <f t="shared" si="72"/>
        <v>0</v>
      </c>
      <c r="H27" s="329">
        <v>431.2</v>
      </c>
      <c r="I27" s="329">
        <f t="shared" si="84"/>
        <v>431.2</v>
      </c>
      <c r="J27" s="327">
        <f t="shared" si="60"/>
        <v>0</v>
      </c>
      <c r="K27" s="327">
        <f t="shared" si="76"/>
        <v>431.2</v>
      </c>
      <c r="L27" s="327">
        <f t="shared" si="62"/>
        <v>431.2</v>
      </c>
      <c r="M27" s="327">
        <f t="shared" si="63"/>
        <v>0</v>
      </c>
      <c r="N27" s="327">
        <f t="shared" si="64"/>
        <v>431.2</v>
      </c>
      <c r="O27" s="327">
        <f t="shared" si="65"/>
        <v>431.2</v>
      </c>
      <c r="P27" s="327">
        <f t="shared" si="66"/>
        <v>0</v>
      </c>
      <c r="Q27" s="327">
        <f t="shared" si="77"/>
        <v>431.2</v>
      </c>
      <c r="R27" s="327">
        <f t="shared" si="68"/>
        <v>431.2</v>
      </c>
      <c r="S27" s="327">
        <f t="shared" si="69"/>
        <v>0</v>
      </c>
    </row>
    <row r="28" spans="1:21" ht="12.75" x14ac:dyDescent="0.2">
      <c r="A28" s="41" t="s">
        <v>34</v>
      </c>
      <c r="B28" s="330">
        <f>SUM(B18:B27)</f>
        <v>1594.3199999999997</v>
      </c>
      <c r="C28" s="330">
        <f>SUM(C18:C27)</f>
        <v>1594.3199999999997</v>
      </c>
      <c r="D28" s="330">
        <f t="shared" ref="D28" si="92">SUM(D18:D27)</f>
        <v>0</v>
      </c>
      <c r="E28" s="330">
        <f t="shared" ref="E28" si="93">SUM(E18:E27)</f>
        <v>1293.5999999999999</v>
      </c>
      <c r="F28" s="330">
        <f t="shared" ref="F28" si="94">SUM(F18:F27)</f>
        <v>1293.5999999999999</v>
      </c>
      <c r="G28" s="330">
        <f t="shared" ref="G28" si="95">SUM(G18:G27)</f>
        <v>0</v>
      </c>
      <c r="H28" s="330">
        <f t="shared" ref="H28" si="96">SUM(H18:H27)</f>
        <v>1293.5999999999999</v>
      </c>
      <c r="I28" s="330">
        <f t="shared" ref="I28" si="97">SUM(I18:I27)</f>
        <v>1293.5999999999999</v>
      </c>
      <c r="J28" s="330">
        <f t="shared" ref="J28" si="98">SUM(J18:J27)</f>
        <v>0</v>
      </c>
      <c r="K28" s="330">
        <f t="shared" ref="K28" si="99">SUM(K18:K27)</f>
        <v>2587.1999999999998</v>
      </c>
      <c r="L28" s="330">
        <f t="shared" ref="L28" si="100">SUM(L18:L27)</f>
        <v>2587.1999999999998</v>
      </c>
      <c r="M28" s="330">
        <f t="shared" ref="M28" si="101">SUM(M18:M27)</f>
        <v>0</v>
      </c>
      <c r="N28" s="330">
        <f t="shared" ref="N28" si="102">SUM(N18:N27)</f>
        <v>2587.1999999999998</v>
      </c>
      <c r="O28" s="330">
        <f t="shared" ref="O28" si="103">SUM(O18:O27)</f>
        <v>2587.1999999999998</v>
      </c>
      <c r="P28" s="330">
        <f t="shared" ref="P28" si="104">SUM(P18:P27)</f>
        <v>0</v>
      </c>
      <c r="Q28" s="330">
        <f t="shared" ref="Q28" si="105">SUM(Q18:Q27)</f>
        <v>2587.1999999999998</v>
      </c>
      <c r="R28" s="330">
        <f t="shared" ref="R28" si="106">SUM(R18:R27)</f>
        <v>2587.1999999999998</v>
      </c>
      <c r="S28" s="330">
        <f t="shared" ref="S28" si="107">SUM(S18:S27)</f>
        <v>0</v>
      </c>
    </row>
    <row r="29" spans="1:21" ht="12.75" x14ac:dyDescent="0.2">
      <c r="A29" s="328" t="s">
        <v>367</v>
      </c>
      <c r="B29" s="329">
        <v>418.67</v>
      </c>
      <c r="C29" s="329">
        <f t="shared" ref="C29" si="108">B29</f>
        <v>418.67</v>
      </c>
      <c r="D29" s="329">
        <f t="shared" ref="D29" si="109">B29-C29</f>
        <v>0</v>
      </c>
      <c r="E29" s="329">
        <f>B29</f>
        <v>418.67</v>
      </c>
      <c r="F29" s="329">
        <f t="shared" ref="F29" si="110">E29</f>
        <v>418.67</v>
      </c>
      <c r="G29" s="329">
        <f t="shared" ref="G29" si="111">E29-F29</f>
        <v>0</v>
      </c>
      <c r="H29" s="329">
        <v>418.67</v>
      </c>
      <c r="I29" s="329">
        <f>H29</f>
        <v>418.67</v>
      </c>
      <c r="J29" s="327">
        <f t="shared" ref="J29" si="112">H29-I29</f>
        <v>0</v>
      </c>
      <c r="K29" s="327">
        <v>0</v>
      </c>
      <c r="L29" s="327">
        <f>K29</f>
        <v>0</v>
      </c>
      <c r="M29" s="327">
        <f t="shared" ref="M29" si="113">K29-L29</f>
        <v>0</v>
      </c>
      <c r="N29" s="327">
        <f t="shared" ref="N29" si="114">K29</f>
        <v>0</v>
      </c>
      <c r="O29" s="327">
        <f t="shared" ref="O29" si="115">N29</f>
        <v>0</v>
      </c>
      <c r="P29" s="327">
        <f t="shared" ref="P29" si="116">N29-O29</f>
        <v>0</v>
      </c>
      <c r="Q29" s="327">
        <f t="shared" ref="Q29" si="117">N29</f>
        <v>0</v>
      </c>
      <c r="R29" s="327">
        <f>Q29</f>
        <v>0</v>
      </c>
      <c r="S29" s="327">
        <f>Q29-R29</f>
        <v>0</v>
      </c>
    </row>
    <row r="30" spans="1:21" ht="12.75" x14ac:dyDescent="0.2">
      <c r="A30" s="219" t="s">
        <v>368</v>
      </c>
      <c r="B30" s="329">
        <v>419.67</v>
      </c>
      <c r="C30" s="329">
        <f t="shared" ref="C30:C31" si="118">B30</f>
        <v>419.67</v>
      </c>
      <c r="D30" s="329">
        <f t="shared" ref="D30:D31" si="119">B30-C30</f>
        <v>0</v>
      </c>
      <c r="E30" s="329">
        <f t="shared" ref="E30:E31" si="120">B30</f>
        <v>419.67</v>
      </c>
      <c r="F30" s="329">
        <f t="shared" ref="F30:F31" si="121">E30</f>
        <v>419.67</v>
      </c>
      <c r="G30" s="329">
        <f t="shared" ref="G30:G31" si="122">E30-F30</f>
        <v>0</v>
      </c>
      <c r="H30" s="329">
        <v>418.67</v>
      </c>
      <c r="I30" s="329">
        <f>H30</f>
        <v>418.67</v>
      </c>
      <c r="J30" s="327">
        <f>H30-I30</f>
        <v>0</v>
      </c>
      <c r="K30" s="327">
        <v>0</v>
      </c>
      <c r="L30" s="327">
        <f>K30</f>
        <v>0</v>
      </c>
      <c r="M30" s="327">
        <f>K30-L30</f>
        <v>0</v>
      </c>
      <c r="N30" s="327">
        <f>K30</f>
        <v>0</v>
      </c>
      <c r="O30" s="327">
        <f>N30</f>
        <v>0</v>
      </c>
      <c r="P30" s="327">
        <f>N30-O30</f>
        <v>0</v>
      </c>
      <c r="Q30" s="327">
        <f>N30</f>
        <v>0</v>
      </c>
      <c r="R30" s="327">
        <f>Q30</f>
        <v>0</v>
      </c>
      <c r="S30" s="327">
        <f>Q30-R30</f>
        <v>0</v>
      </c>
    </row>
    <row r="31" spans="1:21" ht="12.75" x14ac:dyDescent="0.2">
      <c r="A31" s="219" t="s">
        <v>369</v>
      </c>
      <c r="B31" s="329">
        <v>420.67</v>
      </c>
      <c r="C31" s="329">
        <f t="shared" si="118"/>
        <v>420.67</v>
      </c>
      <c r="D31" s="329">
        <f t="shared" si="119"/>
        <v>0</v>
      </c>
      <c r="E31" s="329">
        <f t="shared" si="120"/>
        <v>420.67</v>
      </c>
      <c r="F31" s="329">
        <f t="shared" si="121"/>
        <v>420.67</v>
      </c>
      <c r="G31" s="329">
        <f t="shared" si="122"/>
        <v>0</v>
      </c>
      <c r="H31" s="329">
        <v>418.67</v>
      </c>
      <c r="I31" s="329">
        <f>H31</f>
        <v>418.67</v>
      </c>
      <c r="J31" s="327">
        <f>H31-I31</f>
        <v>0</v>
      </c>
      <c r="K31" s="327">
        <v>0</v>
      </c>
      <c r="L31" s="327">
        <f>K31</f>
        <v>0</v>
      </c>
      <c r="M31" s="327">
        <f>K31-L31</f>
        <v>0</v>
      </c>
      <c r="N31" s="327">
        <f>K31</f>
        <v>0</v>
      </c>
      <c r="O31" s="327">
        <f>N31</f>
        <v>0</v>
      </c>
      <c r="P31" s="327">
        <f>N31-O31</f>
        <v>0</v>
      </c>
      <c r="Q31" s="327">
        <f>N31</f>
        <v>0</v>
      </c>
      <c r="R31" s="327">
        <f>Q31</f>
        <v>0</v>
      </c>
      <c r="S31" s="327">
        <f>Q31-R31</f>
        <v>0</v>
      </c>
    </row>
    <row r="32" spans="1:21" ht="12.75" x14ac:dyDescent="0.2">
      <c r="A32" s="41" t="s">
        <v>336</v>
      </c>
      <c r="B32" s="331">
        <f>SUM(B29:B31)</f>
        <v>1259.01</v>
      </c>
      <c r="C32" s="331">
        <f t="shared" ref="C32" si="123">SUM(C29:C31)</f>
        <v>1259.01</v>
      </c>
      <c r="D32" s="331">
        <f t="shared" ref="D32" si="124">SUM(D29:D31)</f>
        <v>0</v>
      </c>
      <c r="E32" s="331">
        <f t="shared" ref="E32" si="125">SUM(E29:E31)</f>
        <v>1259.01</v>
      </c>
      <c r="F32" s="331">
        <f t="shared" ref="F32" si="126">SUM(F29:F31)</f>
        <v>1259.01</v>
      </c>
      <c r="G32" s="331">
        <f t="shared" ref="G32" si="127">SUM(G29:G31)</f>
        <v>0</v>
      </c>
      <c r="H32" s="331">
        <f t="shared" ref="H32" si="128">SUM(H29:H31)</f>
        <v>1256.01</v>
      </c>
      <c r="I32" s="331">
        <f t="shared" ref="I32" si="129">SUM(I29:I31)</f>
        <v>1256.01</v>
      </c>
      <c r="J32" s="331">
        <f t="shared" ref="J32" si="130">SUM(J29:J31)</f>
        <v>0</v>
      </c>
      <c r="K32" s="331">
        <f t="shared" ref="K32" si="131">SUM(K29:K31)</f>
        <v>0</v>
      </c>
      <c r="L32" s="331">
        <f t="shared" ref="L32" si="132">SUM(L29:L31)</f>
        <v>0</v>
      </c>
      <c r="M32" s="331">
        <f t="shared" ref="M32" si="133">SUM(M29:M31)</f>
        <v>0</v>
      </c>
      <c r="N32" s="331">
        <f t="shared" ref="N32" si="134">SUM(N29:N31)</f>
        <v>0</v>
      </c>
      <c r="O32" s="331">
        <f t="shared" ref="O32" si="135">SUM(O29:O31)</f>
        <v>0</v>
      </c>
      <c r="P32" s="331">
        <f t="shared" ref="P32" si="136">SUM(P29:P31)</f>
        <v>0</v>
      </c>
      <c r="Q32" s="331">
        <f t="shared" ref="Q32" si="137">SUM(Q29:Q31)</f>
        <v>0</v>
      </c>
      <c r="R32" s="331">
        <f t="shared" ref="R32" si="138">SUM(R29:R31)</f>
        <v>0</v>
      </c>
      <c r="S32" s="331">
        <f t="shared" ref="S32" si="139">SUM(S29:S31)</f>
        <v>0</v>
      </c>
    </row>
    <row r="33" spans="1:19" ht="12.75" x14ac:dyDescent="0.2">
      <c r="A33" s="48" t="s">
        <v>291</v>
      </c>
      <c r="B33" s="333">
        <f>B32+B28</f>
        <v>2853.33</v>
      </c>
      <c r="C33" s="333">
        <f t="shared" ref="C33:S33" si="140">C32+C28</f>
        <v>2853.33</v>
      </c>
      <c r="D33" s="333">
        <f t="shared" si="140"/>
        <v>0</v>
      </c>
      <c r="E33" s="333">
        <f t="shared" si="140"/>
        <v>2552.6099999999997</v>
      </c>
      <c r="F33" s="333">
        <f t="shared" si="140"/>
        <v>2552.6099999999997</v>
      </c>
      <c r="G33" s="333">
        <f t="shared" si="140"/>
        <v>0</v>
      </c>
      <c r="H33" s="333">
        <f t="shared" si="140"/>
        <v>2549.6099999999997</v>
      </c>
      <c r="I33" s="333">
        <f t="shared" si="140"/>
        <v>2549.6099999999997</v>
      </c>
      <c r="J33" s="333">
        <f t="shared" si="140"/>
        <v>0</v>
      </c>
      <c r="K33" s="333">
        <f t="shared" si="140"/>
        <v>2587.1999999999998</v>
      </c>
      <c r="L33" s="333">
        <f t="shared" si="140"/>
        <v>2587.1999999999998</v>
      </c>
      <c r="M33" s="333">
        <f t="shared" si="140"/>
        <v>0</v>
      </c>
      <c r="N33" s="333">
        <f t="shared" si="140"/>
        <v>2587.1999999999998</v>
      </c>
      <c r="O33" s="333">
        <f t="shared" si="140"/>
        <v>2587.1999999999998</v>
      </c>
      <c r="P33" s="333">
        <f t="shared" si="140"/>
        <v>0</v>
      </c>
      <c r="Q33" s="333">
        <f t="shared" si="140"/>
        <v>2587.1999999999998</v>
      </c>
      <c r="R33" s="333">
        <f t="shared" si="140"/>
        <v>2587.1999999999998</v>
      </c>
      <c r="S33" s="333">
        <f t="shared" si="140"/>
        <v>0</v>
      </c>
    </row>
    <row r="37" spans="1:19" x14ac:dyDescent="0.2">
      <c r="C37" s="187" t="s">
        <v>47</v>
      </c>
    </row>
  </sheetData>
  <mergeCells count="12">
    <mergeCell ref="Q1:S1"/>
    <mergeCell ref="B16:D16"/>
    <mergeCell ref="E16:G16"/>
    <mergeCell ref="H16:J16"/>
    <mergeCell ref="K16:M16"/>
    <mergeCell ref="N16:P16"/>
    <mergeCell ref="Q16:S16"/>
    <mergeCell ref="B1:D1"/>
    <mergeCell ref="E1:G1"/>
    <mergeCell ref="H1:J1"/>
    <mergeCell ref="K1:M1"/>
    <mergeCell ref="N1:P1"/>
  </mergeCells>
  <printOptions horizontalCentered="1" gridLines="1"/>
  <pageMargins left="0" right="0" top="0.75" bottom="0" header="0.3" footer="0.3"/>
  <pageSetup scale="80" orientation="landscape" r:id="rId1"/>
  <headerFooter>
    <oddHeader>&amp;LElectrical Engineering Department&amp;C Budget and Expenditure Projection 2016-17
&amp;R&amp;A</oddHeader>
    <oddFooter>&amp;R&amp;8&amp;D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8" tint="0.59999389629810485"/>
  </sheetPr>
  <dimension ref="A1:T84"/>
  <sheetViews>
    <sheetView tabSelected="1" zoomScale="120" zoomScaleNormal="120" workbookViewId="0">
      <pane xSplit="1" ySplit="2" topLeftCell="B51" activePane="bottomRight" state="frozen"/>
      <selection activeCell="G34" sqref="G34"/>
      <selection pane="topRight" activeCell="G34" sqref="G34"/>
      <selection pane="bottomLeft" activeCell="G34" sqref="G34"/>
      <selection pane="bottomRight" activeCell="G34" sqref="G34"/>
    </sheetView>
  </sheetViews>
  <sheetFormatPr defaultRowHeight="12.75" x14ac:dyDescent="0.2"/>
  <cols>
    <col min="1" max="1" width="5.7109375" style="7" bestFit="1" customWidth="1"/>
    <col min="2" max="2" width="8.140625" bestFit="1" customWidth="1"/>
    <col min="3" max="3" width="9.140625" customWidth="1"/>
    <col min="4" max="4" width="7.5703125" bestFit="1" customWidth="1"/>
    <col min="5" max="6" width="9.140625" bestFit="1" customWidth="1"/>
    <col min="7" max="7" width="7.85546875" bestFit="1" customWidth="1"/>
    <col min="8" max="9" width="9.140625" bestFit="1" customWidth="1"/>
    <col min="10" max="10" width="7.85546875" bestFit="1" customWidth="1"/>
    <col min="11" max="12" width="9.140625" bestFit="1" customWidth="1"/>
    <col min="13" max="13" width="7.85546875" bestFit="1" customWidth="1"/>
    <col min="14" max="15" width="9.140625" bestFit="1" customWidth="1"/>
    <col min="16" max="16" width="7" bestFit="1" customWidth="1"/>
    <col min="17" max="18" width="9.140625" bestFit="1" customWidth="1"/>
    <col min="19" max="19" width="7" bestFit="1" customWidth="1"/>
    <col min="20" max="20" width="9.7109375" bestFit="1" customWidth="1"/>
  </cols>
  <sheetData>
    <row r="1" spans="1:19" ht="21" customHeight="1" x14ac:dyDescent="0.2">
      <c r="B1" s="368" t="s">
        <v>6</v>
      </c>
      <c r="C1" s="368"/>
      <c r="D1" s="368"/>
      <c r="E1" s="368" t="s">
        <v>125</v>
      </c>
      <c r="F1" s="368"/>
      <c r="G1" s="368"/>
      <c r="H1" s="368" t="s">
        <v>126</v>
      </c>
      <c r="I1" s="368"/>
      <c r="J1" s="368"/>
      <c r="K1" s="368" t="s">
        <v>127</v>
      </c>
      <c r="L1" s="368"/>
      <c r="M1" s="368"/>
      <c r="N1" s="368" t="s">
        <v>128</v>
      </c>
      <c r="O1" s="368"/>
      <c r="P1" s="368"/>
      <c r="Q1" s="368" t="s">
        <v>129</v>
      </c>
      <c r="R1" s="368"/>
      <c r="S1" s="368"/>
    </row>
    <row r="2" spans="1:19" x14ac:dyDescent="0.2">
      <c r="B2" s="19" t="s">
        <v>33</v>
      </c>
      <c r="C2" s="19" t="s">
        <v>31</v>
      </c>
      <c r="D2" s="19" t="s">
        <v>32</v>
      </c>
      <c r="E2" s="19" t="s">
        <v>34</v>
      </c>
      <c r="F2" s="19" t="s">
        <v>31</v>
      </c>
      <c r="G2" s="19" t="s">
        <v>32</v>
      </c>
      <c r="H2" s="19" t="s">
        <v>34</v>
      </c>
      <c r="I2" s="19" t="s">
        <v>31</v>
      </c>
      <c r="J2" s="19" t="s">
        <v>32</v>
      </c>
      <c r="K2" s="19" t="s">
        <v>34</v>
      </c>
      <c r="L2" s="19" t="s">
        <v>31</v>
      </c>
      <c r="M2" s="19" t="s">
        <v>32</v>
      </c>
      <c r="N2" s="17" t="s">
        <v>34</v>
      </c>
      <c r="O2" s="17" t="s">
        <v>31</v>
      </c>
      <c r="P2" s="17" t="s">
        <v>32</v>
      </c>
      <c r="Q2" s="17" t="s">
        <v>34</v>
      </c>
      <c r="R2" s="17" t="s">
        <v>31</v>
      </c>
      <c r="S2" s="17" t="s">
        <v>32</v>
      </c>
    </row>
    <row r="3" spans="1:19" x14ac:dyDescent="0.2">
      <c r="A3" s="3" t="s">
        <v>393</v>
      </c>
      <c r="B3" s="176">
        <v>408</v>
      </c>
      <c r="C3" s="176">
        <f t="shared" ref="C3:C38" si="0">B3</f>
        <v>408</v>
      </c>
      <c r="D3" s="176">
        <f t="shared" ref="D3:D38" si="1">B3-C3</f>
        <v>0</v>
      </c>
      <c r="E3" s="176">
        <v>0</v>
      </c>
      <c r="F3" s="176">
        <f t="shared" ref="F3:F21" si="2">E3</f>
        <v>0</v>
      </c>
      <c r="G3" s="176">
        <f t="shared" ref="G3:G21" si="3">E3-F3</f>
        <v>0</v>
      </c>
      <c r="H3" s="208">
        <v>0</v>
      </c>
      <c r="I3" s="208">
        <f t="shared" ref="I3:I21" si="4">H3</f>
        <v>0</v>
      </c>
      <c r="J3" s="208">
        <f t="shared" ref="J3:J21" si="5">H3-I3</f>
        <v>0</v>
      </c>
      <c r="K3" s="208">
        <v>0</v>
      </c>
      <c r="L3" s="208">
        <f t="shared" ref="L3:L21" si="6">K3</f>
        <v>0</v>
      </c>
      <c r="M3" s="208">
        <f t="shared" ref="M3:M21" si="7">K3-L3</f>
        <v>0</v>
      </c>
      <c r="N3" s="232">
        <v>0</v>
      </c>
      <c r="O3" s="232">
        <f t="shared" ref="O3:O21" si="8">N3</f>
        <v>0</v>
      </c>
      <c r="P3" s="232">
        <f t="shared" ref="P3:P21" si="9">N3-O3</f>
        <v>0</v>
      </c>
      <c r="Q3" s="232">
        <f>N3</f>
        <v>0</v>
      </c>
      <c r="R3" s="232">
        <f t="shared" ref="R3:R21" si="10">Q3</f>
        <v>0</v>
      </c>
      <c r="S3" s="232">
        <f t="shared" ref="S3:S21" si="11">Q3-R3</f>
        <v>0</v>
      </c>
    </row>
    <row r="4" spans="1:19" x14ac:dyDescent="0.2">
      <c r="A4" s="187" t="s">
        <v>393</v>
      </c>
      <c r="B4" s="244">
        <v>72</v>
      </c>
      <c r="C4" s="310">
        <f t="shared" si="0"/>
        <v>72</v>
      </c>
      <c r="D4" s="310">
        <f t="shared" si="1"/>
        <v>0</v>
      </c>
      <c r="E4" s="244">
        <v>0</v>
      </c>
      <c r="F4" s="244">
        <f t="shared" si="2"/>
        <v>0</v>
      </c>
      <c r="G4" s="244">
        <f t="shared" si="3"/>
        <v>0</v>
      </c>
      <c r="H4" s="245">
        <v>0</v>
      </c>
      <c r="I4" s="245">
        <f t="shared" si="4"/>
        <v>0</v>
      </c>
      <c r="J4" s="245">
        <f t="shared" si="5"/>
        <v>0</v>
      </c>
      <c r="K4" s="315">
        <v>0</v>
      </c>
      <c r="L4" s="244">
        <f t="shared" si="6"/>
        <v>0</v>
      </c>
      <c r="M4" s="244">
        <f t="shared" si="7"/>
        <v>0</v>
      </c>
      <c r="N4" s="310">
        <v>0</v>
      </c>
      <c r="O4" s="244">
        <f t="shared" si="8"/>
        <v>0</v>
      </c>
      <c r="P4" s="244">
        <f t="shared" si="9"/>
        <v>0</v>
      </c>
      <c r="Q4" s="310">
        <f t="shared" ref="Q4:Q37" si="12">N4</f>
        <v>0</v>
      </c>
      <c r="R4" s="244">
        <f t="shared" si="10"/>
        <v>0</v>
      </c>
      <c r="S4" s="244">
        <f t="shared" si="11"/>
        <v>0</v>
      </c>
    </row>
    <row r="5" spans="1:19" x14ac:dyDescent="0.2">
      <c r="A5" s="187" t="s">
        <v>393</v>
      </c>
      <c r="B5" s="323">
        <v>0</v>
      </c>
      <c r="C5" s="323">
        <v>0</v>
      </c>
      <c r="D5" s="323">
        <f t="shared" si="1"/>
        <v>0</v>
      </c>
      <c r="E5" s="323">
        <v>0</v>
      </c>
      <c r="F5" s="323">
        <f t="shared" ref="F5" si="13">E5</f>
        <v>0</v>
      </c>
      <c r="G5" s="323">
        <f t="shared" ref="G5" si="14">E5-F5</f>
        <v>0</v>
      </c>
      <c r="H5" s="323">
        <v>0</v>
      </c>
      <c r="I5" s="323">
        <f t="shared" ref="I5" si="15">H5</f>
        <v>0</v>
      </c>
      <c r="J5" s="323">
        <f t="shared" ref="J5" si="16">H5-I5</f>
        <v>0</v>
      </c>
      <c r="K5" s="323">
        <v>0</v>
      </c>
      <c r="L5" s="323">
        <f t="shared" ref="L5" si="17">K5</f>
        <v>0</v>
      </c>
      <c r="M5" s="323">
        <f t="shared" ref="M5" si="18">K5-L5</f>
        <v>0</v>
      </c>
      <c r="N5" s="323">
        <v>139.19999999999999</v>
      </c>
      <c r="O5" s="323">
        <f>N5</f>
        <v>139.19999999999999</v>
      </c>
      <c r="P5" s="323">
        <f>N5-O5</f>
        <v>0</v>
      </c>
      <c r="Q5" s="323">
        <v>100.8</v>
      </c>
      <c r="R5" s="323">
        <f>Q5</f>
        <v>100.8</v>
      </c>
      <c r="S5" s="323">
        <f>Q5-R5</f>
        <v>0</v>
      </c>
    </row>
    <row r="6" spans="1:19" x14ac:dyDescent="0.2">
      <c r="A6" s="187" t="s">
        <v>393</v>
      </c>
      <c r="B6" s="283">
        <v>248.4</v>
      </c>
      <c r="C6" s="310">
        <f t="shared" si="0"/>
        <v>248.4</v>
      </c>
      <c r="D6" s="310">
        <f t="shared" si="1"/>
        <v>0</v>
      </c>
      <c r="E6" s="283">
        <v>0</v>
      </c>
      <c r="F6" s="283">
        <f t="shared" si="2"/>
        <v>0</v>
      </c>
      <c r="G6" s="283">
        <f t="shared" si="3"/>
        <v>0</v>
      </c>
      <c r="H6" s="283">
        <v>0</v>
      </c>
      <c r="I6" s="283">
        <f t="shared" si="4"/>
        <v>0</v>
      </c>
      <c r="J6" s="283">
        <f t="shared" si="5"/>
        <v>0</v>
      </c>
      <c r="K6" s="315">
        <v>0</v>
      </c>
      <c r="L6" s="283">
        <f t="shared" si="6"/>
        <v>0</v>
      </c>
      <c r="M6" s="283">
        <f t="shared" si="7"/>
        <v>0</v>
      </c>
      <c r="N6" s="310">
        <v>0</v>
      </c>
      <c r="O6" s="283">
        <f t="shared" si="8"/>
        <v>0</v>
      </c>
      <c r="P6" s="283">
        <f t="shared" si="9"/>
        <v>0</v>
      </c>
      <c r="Q6" s="310">
        <f t="shared" si="12"/>
        <v>0</v>
      </c>
      <c r="R6" s="283">
        <f t="shared" si="10"/>
        <v>0</v>
      </c>
      <c r="S6" s="283">
        <f t="shared" si="11"/>
        <v>0</v>
      </c>
    </row>
    <row r="7" spans="1:19" x14ac:dyDescent="0.2">
      <c r="A7" s="187" t="s">
        <v>393</v>
      </c>
      <c r="B7" s="323">
        <v>0</v>
      </c>
      <c r="C7" s="323">
        <v>0</v>
      </c>
      <c r="D7" s="323">
        <f t="shared" ref="D7" si="19">B7-C7</f>
        <v>0</v>
      </c>
      <c r="E7" s="323">
        <v>0</v>
      </c>
      <c r="F7" s="323">
        <f t="shared" ref="F7" si="20">E7</f>
        <v>0</v>
      </c>
      <c r="G7" s="323">
        <f t="shared" ref="G7" si="21">E7-F7</f>
        <v>0</v>
      </c>
      <c r="H7" s="323">
        <v>0</v>
      </c>
      <c r="I7" s="323">
        <f t="shared" ref="I7" si="22">H7</f>
        <v>0</v>
      </c>
      <c r="J7" s="323">
        <f t="shared" ref="J7" si="23">H7-I7</f>
        <v>0</v>
      </c>
      <c r="K7" s="323">
        <v>0</v>
      </c>
      <c r="L7" s="323">
        <f t="shared" ref="L7" si="24">K7</f>
        <v>0</v>
      </c>
      <c r="M7" s="323">
        <f t="shared" ref="M7" si="25">K7-L7</f>
        <v>0</v>
      </c>
      <c r="N7" s="323">
        <v>288</v>
      </c>
      <c r="O7" s="323">
        <f t="shared" ref="O7" si="26">N7</f>
        <v>288</v>
      </c>
      <c r="P7" s="323">
        <f t="shared" ref="P7" si="27">N7-O7</f>
        <v>0</v>
      </c>
      <c r="Q7" s="323">
        <v>168</v>
      </c>
      <c r="R7" s="323">
        <f t="shared" ref="R7" si="28">Q7</f>
        <v>168</v>
      </c>
      <c r="S7" s="323">
        <f t="shared" ref="S7" si="29">Q7-R7</f>
        <v>0</v>
      </c>
    </row>
    <row r="8" spans="1:19" s="55" customFormat="1" x14ac:dyDescent="0.2">
      <c r="A8" s="187" t="s">
        <v>393</v>
      </c>
      <c r="B8" s="207">
        <v>36</v>
      </c>
      <c r="C8" s="310">
        <f t="shared" si="0"/>
        <v>36</v>
      </c>
      <c r="D8" s="310">
        <f t="shared" si="1"/>
        <v>0</v>
      </c>
      <c r="E8" s="207">
        <v>0</v>
      </c>
      <c r="F8" s="207">
        <f t="shared" si="2"/>
        <v>0</v>
      </c>
      <c r="G8" s="207">
        <f t="shared" si="3"/>
        <v>0</v>
      </c>
      <c r="H8" s="245">
        <v>0</v>
      </c>
      <c r="I8" s="245">
        <f t="shared" si="4"/>
        <v>0</v>
      </c>
      <c r="J8" s="245">
        <f t="shared" si="5"/>
        <v>0</v>
      </c>
      <c r="K8" s="315">
        <v>0</v>
      </c>
      <c r="L8" s="208">
        <f t="shared" si="6"/>
        <v>0</v>
      </c>
      <c r="M8" s="208">
        <f t="shared" si="7"/>
        <v>0</v>
      </c>
      <c r="N8" s="310">
        <v>0</v>
      </c>
      <c r="O8" s="232">
        <f t="shared" si="8"/>
        <v>0</v>
      </c>
      <c r="P8" s="232">
        <f t="shared" si="9"/>
        <v>0</v>
      </c>
      <c r="Q8" s="310">
        <f t="shared" si="12"/>
        <v>0</v>
      </c>
      <c r="R8" s="245">
        <f t="shared" si="10"/>
        <v>0</v>
      </c>
      <c r="S8" s="245">
        <f t="shared" si="11"/>
        <v>0</v>
      </c>
    </row>
    <row r="9" spans="1:19" x14ac:dyDescent="0.2">
      <c r="A9" s="187" t="s">
        <v>393</v>
      </c>
      <c r="B9" s="17">
        <v>24</v>
      </c>
      <c r="C9" s="310">
        <f t="shared" si="0"/>
        <v>24</v>
      </c>
      <c r="D9" s="310">
        <f t="shared" si="1"/>
        <v>0</v>
      </c>
      <c r="E9" s="17">
        <v>0</v>
      </c>
      <c r="F9" s="139">
        <f t="shared" si="2"/>
        <v>0</v>
      </c>
      <c r="G9" s="17">
        <f t="shared" si="3"/>
        <v>0</v>
      </c>
      <c r="H9" s="245">
        <v>0</v>
      </c>
      <c r="I9" s="245">
        <f t="shared" si="4"/>
        <v>0</v>
      </c>
      <c r="J9" s="245">
        <f t="shared" si="5"/>
        <v>0</v>
      </c>
      <c r="K9" s="315">
        <v>0</v>
      </c>
      <c r="L9" s="208">
        <f t="shared" si="6"/>
        <v>0</v>
      </c>
      <c r="M9" s="208">
        <f t="shared" si="7"/>
        <v>0</v>
      </c>
      <c r="N9" s="310">
        <v>972</v>
      </c>
      <c r="O9" s="232">
        <f t="shared" si="8"/>
        <v>972</v>
      </c>
      <c r="P9" s="232">
        <f t="shared" si="9"/>
        <v>0</v>
      </c>
      <c r="Q9" s="310">
        <v>924</v>
      </c>
      <c r="R9" s="245">
        <f t="shared" si="10"/>
        <v>924</v>
      </c>
      <c r="S9" s="245">
        <f t="shared" si="11"/>
        <v>0</v>
      </c>
    </row>
    <row r="10" spans="1:19" x14ac:dyDescent="0.2">
      <c r="A10" s="187" t="s">
        <v>393</v>
      </c>
      <c r="B10" s="323">
        <v>0</v>
      </c>
      <c r="C10" s="323">
        <f t="shared" ref="C10" si="30">B10</f>
        <v>0</v>
      </c>
      <c r="D10" s="323">
        <f t="shared" ref="D10" si="31">B10-C10</f>
        <v>0</v>
      </c>
      <c r="E10" s="323">
        <v>0</v>
      </c>
      <c r="F10" s="323">
        <f t="shared" ref="F10" si="32">E10</f>
        <v>0</v>
      </c>
      <c r="G10" s="323">
        <f t="shared" ref="G10" si="33">E10-F10</f>
        <v>0</v>
      </c>
      <c r="H10" s="323">
        <v>0</v>
      </c>
      <c r="I10" s="323">
        <f t="shared" ref="I10" si="34">H10</f>
        <v>0</v>
      </c>
      <c r="J10" s="323">
        <f t="shared" ref="J10" si="35">H10-I10</f>
        <v>0</v>
      </c>
      <c r="K10" s="323">
        <v>0</v>
      </c>
      <c r="L10" s="323">
        <f t="shared" ref="L10" si="36">K10</f>
        <v>0</v>
      </c>
      <c r="M10" s="323">
        <f t="shared" ref="M10" si="37">K10-L10</f>
        <v>0</v>
      </c>
      <c r="N10" s="323">
        <v>114.75</v>
      </c>
      <c r="O10" s="323">
        <f t="shared" ref="O10" si="38">N10</f>
        <v>114.75</v>
      </c>
      <c r="P10" s="323">
        <f t="shared" ref="P10" si="39">N10-O10</f>
        <v>0</v>
      </c>
      <c r="Q10" s="323">
        <v>91.8</v>
      </c>
      <c r="R10" s="323">
        <f t="shared" ref="R10" si="40">Q10</f>
        <v>91.8</v>
      </c>
      <c r="S10" s="323">
        <f t="shared" ref="S10" si="41">Q10-R10</f>
        <v>0</v>
      </c>
    </row>
    <row r="11" spans="1:19" x14ac:dyDescent="0.2">
      <c r="A11" s="187" t="s">
        <v>393</v>
      </c>
      <c r="B11" s="323">
        <v>0</v>
      </c>
      <c r="C11" s="323">
        <f t="shared" ref="C11:C12" si="42">B11</f>
        <v>0</v>
      </c>
      <c r="D11" s="323">
        <f t="shared" ref="D11:D12" si="43">B11-C11</f>
        <v>0</v>
      </c>
      <c r="E11" s="323">
        <v>0</v>
      </c>
      <c r="F11" s="323">
        <f t="shared" ref="F11:F12" si="44">E11</f>
        <v>0</v>
      </c>
      <c r="G11" s="323">
        <f t="shared" ref="G11:G12" si="45">E11-F11</f>
        <v>0</v>
      </c>
      <c r="H11" s="323">
        <v>0</v>
      </c>
      <c r="I11" s="323">
        <f t="shared" ref="I11:I12" si="46">H11</f>
        <v>0</v>
      </c>
      <c r="J11" s="323">
        <f t="shared" ref="J11:J12" si="47">H11-I11</f>
        <v>0</v>
      </c>
      <c r="K11" s="323">
        <v>0</v>
      </c>
      <c r="L11" s="323">
        <f t="shared" ref="L11:L12" si="48">K11</f>
        <v>0</v>
      </c>
      <c r="M11" s="323">
        <f t="shared" ref="M11:M12" si="49">K11-L11</f>
        <v>0</v>
      </c>
      <c r="N11" s="323">
        <v>96</v>
      </c>
      <c r="O11" s="323">
        <f t="shared" ref="O11:O12" si="50">N11</f>
        <v>96</v>
      </c>
      <c r="P11" s="323">
        <f t="shared" ref="P11:P12" si="51">N11-O11</f>
        <v>0</v>
      </c>
      <c r="Q11" s="323">
        <v>72</v>
      </c>
      <c r="R11" s="323">
        <f t="shared" ref="R11:R12" si="52">Q11</f>
        <v>72</v>
      </c>
      <c r="S11" s="323">
        <f t="shared" ref="S11:S12" si="53">Q11-R11</f>
        <v>0</v>
      </c>
    </row>
    <row r="12" spans="1:19" x14ac:dyDescent="0.2">
      <c r="A12" s="187" t="s">
        <v>393</v>
      </c>
      <c r="B12" s="323">
        <v>0</v>
      </c>
      <c r="C12" s="323">
        <f t="shared" si="42"/>
        <v>0</v>
      </c>
      <c r="D12" s="323">
        <f t="shared" si="43"/>
        <v>0</v>
      </c>
      <c r="E12" s="323">
        <v>0</v>
      </c>
      <c r="F12" s="323">
        <f t="shared" si="44"/>
        <v>0</v>
      </c>
      <c r="G12" s="323">
        <f t="shared" si="45"/>
        <v>0</v>
      </c>
      <c r="H12" s="323">
        <v>0</v>
      </c>
      <c r="I12" s="323">
        <f t="shared" si="46"/>
        <v>0</v>
      </c>
      <c r="J12" s="323">
        <f t="shared" si="47"/>
        <v>0</v>
      </c>
      <c r="K12" s="323">
        <v>0</v>
      </c>
      <c r="L12" s="323">
        <f t="shared" si="48"/>
        <v>0</v>
      </c>
      <c r="M12" s="323">
        <f t="shared" si="49"/>
        <v>0</v>
      </c>
      <c r="N12" s="323">
        <v>288</v>
      </c>
      <c r="O12" s="323">
        <f t="shared" si="50"/>
        <v>288</v>
      </c>
      <c r="P12" s="323">
        <f t="shared" si="51"/>
        <v>0</v>
      </c>
      <c r="Q12" s="323">
        <v>144</v>
      </c>
      <c r="R12" s="323">
        <f t="shared" si="52"/>
        <v>144</v>
      </c>
      <c r="S12" s="323">
        <f t="shared" si="53"/>
        <v>0</v>
      </c>
    </row>
    <row r="13" spans="1:19" x14ac:dyDescent="0.2">
      <c r="A13" s="187" t="s">
        <v>393</v>
      </c>
      <c r="B13" s="245">
        <v>24</v>
      </c>
      <c r="C13" s="310">
        <f t="shared" si="0"/>
        <v>24</v>
      </c>
      <c r="D13" s="310">
        <f t="shared" si="1"/>
        <v>0</v>
      </c>
      <c r="E13" s="245">
        <v>0</v>
      </c>
      <c r="F13" s="245">
        <f t="shared" si="2"/>
        <v>0</v>
      </c>
      <c r="G13" s="245">
        <f t="shared" si="3"/>
        <v>0</v>
      </c>
      <c r="H13" s="245">
        <v>0</v>
      </c>
      <c r="I13" s="245">
        <f t="shared" si="4"/>
        <v>0</v>
      </c>
      <c r="J13" s="245">
        <f t="shared" si="5"/>
        <v>0</v>
      </c>
      <c r="K13" s="315">
        <v>0</v>
      </c>
      <c r="L13" s="245">
        <f t="shared" si="6"/>
        <v>0</v>
      </c>
      <c r="M13" s="245">
        <f t="shared" si="7"/>
        <v>0</v>
      </c>
      <c r="N13" s="310">
        <v>0</v>
      </c>
      <c r="O13" s="245">
        <f t="shared" si="8"/>
        <v>0</v>
      </c>
      <c r="P13" s="245">
        <f t="shared" si="9"/>
        <v>0</v>
      </c>
      <c r="Q13" s="310">
        <f t="shared" si="12"/>
        <v>0</v>
      </c>
      <c r="R13" s="245">
        <f t="shared" si="10"/>
        <v>0</v>
      </c>
      <c r="S13" s="245">
        <f t="shared" si="11"/>
        <v>0</v>
      </c>
    </row>
    <row r="14" spans="1:19" x14ac:dyDescent="0.2">
      <c r="A14" s="187" t="s">
        <v>393</v>
      </c>
      <c r="B14" s="348">
        <v>0</v>
      </c>
      <c r="C14" s="348">
        <v>0</v>
      </c>
      <c r="D14" s="348">
        <f t="shared" si="1"/>
        <v>0</v>
      </c>
      <c r="E14" s="348">
        <v>0</v>
      </c>
      <c r="F14" s="348">
        <f t="shared" si="2"/>
        <v>0</v>
      </c>
      <c r="G14" s="348">
        <f t="shared" si="3"/>
        <v>0</v>
      </c>
      <c r="H14" s="348">
        <v>0</v>
      </c>
      <c r="I14" s="348">
        <f t="shared" si="4"/>
        <v>0</v>
      </c>
      <c r="J14" s="348">
        <f t="shared" si="5"/>
        <v>0</v>
      </c>
      <c r="K14" s="348">
        <v>0</v>
      </c>
      <c r="L14" s="348">
        <f t="shared" si="6"/>
        <v>0</v>
      </c>
      <c r="M14" s="348">
        <f t="shared" si="7"/>
        <v>0</v>
      </c>
      <c r="N14" s="348">
        <v>0</v>
      </c>
      <c r="O14" s="348">
        <f t="shared" si="8"/>
        <v>0</v>
      </c>
      <c r="P14" s="348">
        <f t="shared" si="9"/>
        <v>0</v>
      </c>
      <c r="Q14" s="348">
        <v>162</v>
      </c>
      <c r="R14" s="348">
        <f t="shared" ref="R14" si="54">Q14</f>
        <v>162</v>
      </c>
      <c r="S14" s="348">
        <f t="shared" ref="S14" si="55">Q14-R14</f>
        <v>0</v>
      </c>
    </row>
    <row r="15" spans="1:19" x14ac:dyDescent="0.2">
      <c r="A15" s="187" t="s">
        <v>393</v>
      </c>
      <c r="B15" s="245">
        <v>186</v>
      </c>
      <c r="C15" s="310">
        <f t="shared" si="0"/>
        <v>186</v>
      </c>
      <c r="D15" s="310">
        <f t="shared" si="1"/>
        <v>0</v>
      </c>
      <c r="E15" s="245">
        <v>0</v>
      </c>
      <c r="F15" s="245">
        <f t="shared" si="2"/>
        <v>0</v>
      </c>
      <c r="G15" s="245">
        <f t="shared" si="3"/>
        <v>0</v>
      </c>
      <c r="H15" s="245">
        <v>0</v>
      </c>
      <c r="I15" s="245">
        <f t="shared" si="4"/>
        <v>0</v>
      </c>
      <c r="J15" s="245">
        <f t="shared" si="5"/>
        <v>0</v>
      </c>
      <c r="K15" s="315">
        <v>0</v>
      </c>
      <c r="L15" s="245">
        <f t="shared" si="6"/>
        <v>0</v>
      </c>
      <c r="M15" s="245">
        <f t="shared" si="7"/>
        <v>0</v>
      </c>
      <c r="N15" s="310">
        <v>0</v>
      </c>
      <c r="O15" s="245">
        <f t="shared" si="8"/>
        <v>0</v>
      </c>
      <c r="P15" s="245">
        <f t="shared" si="9"/>
        <v>0</v>
      </c>
      <c r="Q15" s="310">
        <f t="shared" si="12"/>
        <v>0</v>
      </c>
      <c r="R15" s="245">
        <f t="shared" si="10"/>
        <v>0</v>
      </c>
      <c r="S15" s="245">
        <f t="shared" si="11"/>
        <v>0</v>
      </c>
    </row>
    <row r="16" spans="1:19" x14ac:dyDescent="0.2">
      <c r="A16" s="187" t="s">
        <v>393</v>
      </c>
      <c r="B16" s="245">
        <v>72</v>
      </c>
      <c r="C16" s="310">
        <f t="shared" si="0"/>
        <v>72</v>
      </c>
      <c r="D16" s="310">
        <f t="shared" si="1"/>
        <v>0</v>
      </c>
      <c r="E16" s="245">
        <v>0</v>
      </c>
      <c r="F16" s="245">
        <f t="shared" si="2"/>
        <v>0</v>
      </c>
      <c r="G16" s="245">
        <f t="shared" si="3"/>
        <v>0</v>
      </c>
      <c r="H16" s="245">
        <v>0</v>
      </c>
      <c r="I16" s="245">
        <f t="shared" si="4"/>
        <v>0</v>
      </c>
      <c r="J16" s="245">
        <f t="shared" si="5"/>
        <v>0</v>
      </c>
      <c r="K16" s="315">
        <v>0</v>
      </c>
      <c r="L16" s="245">
        <f t="shared" si="6"/>
        <v>0</v>
      </c>
      <c r="M16" s="245">
        <f t="shared" si="7"/>
        <v>0</v>
      </c>
      <c r="N16" s="310">
        <v>252</v>
      </c>
      <c r="O16" s="245">
        <f t="shared" si="8"/>
        <v>252</v>
      </c>
      <c r="P16" s="245">
        <f t="shared" si="9"/>
        <v>0</v>
      </c>
      <c r="Q16" s="310">
        <v>216</v>
      </c>
      <c r="R16" s="245">
        <f t="shared" si="10"/>
        <v>216</v>
      </c>
      <c r="S16" s="245">
        <f t="shared" si="11"/>
        <v>0</v>
      </c>
    </row>
    <row r="17" spans="1:19" x14ac:dyDescent="0.2">
      <c r="A17" s="187" t="s">
        <v>393</v>
      </c>
      <c r="B17" s="323">
        <v>0</v>
      </c>
      <c r="C17" s="323">
        <f t="shared" ref="C17:C19" si="56">B17</f>
        <v>0</v>
      </c>
      <c r="D17" s="323">
        <f t="shared" ref="D17:D19" si="57">B17-C17</f>
        <v>0</v>
      </c>
      <c r="E17" s="323">
        <v>0</v>
      </c>
      <c r="F17" s="323">
        <f t="shared" ref="F17:F19" si="58">E17</f>
        <v>0</v>
      </c>
      <c r="G17" s="323">
        <f t="shared" ref="G17:G19" si="59">E17-F17</f>
        <v>0</v>
      </c>
      <c r="H17" s="323">
        <v>0</v>
      </c>
      <c r="I17" s="323">
        <f t="shared" ref="I17:I19" si="60">H17</f>
        <v>0</v>
      </c>
      <c r="J17" s="323">
        <f t="shared" ref="J17:J19" si="61">H17-I17</f>
        <v>0</v>
      </c>
      <c r="K17" s="323">
        <v>0</v>
      </c>
      <c r="L17" s="323">
        <f t="shared" ref="L17:L19" si="62">K17</f>
        <v>0</v>
      </c>
      <c r="M17" s="323">
        <f t="shared" ref="M17:M19" si="63">K17-L17</f>
        <v>0</v>
      </c>
      <c r="N17" s="323">
        <v>180</v>
      </c>
      <c r="O17" s="323">
        <f t="shared" ref="O17:O19" si="64">N17</f>
        <v>180</v>
      </c>
      <c r="P17" s="323">
        <f t="shared" ref="P17:P19" si="65">N17-O17</f>
        <v>0</v>
      </c>
      <c r="Q17" s="323">
        <v>108</v>
      </c>
      <c r="R17" s="323">
        <f t="shared" ref="R17:R19" si="66">Q17</f>
        <v>108</v>
      </c>
      <c r="S17" s="323">
        <f t="shared" ref="S17:S19" si="67">Q17-R17</f>
        <v>0</v>
      </c>
    </row>
    <row r="18" spans="1:19" x14ac:dyDescent="0.2">
      <c r="A18" s="187" t="s">
        <v>393</v>
      </c>
      <c r="B18" s="323">
        <v>0</v>
      </c>
      <c r="C18" s="323">
        <f t="shared" si="56"/>
        <v>0</v>
      </c>
      <c r="D18" s="323">
        <f t="shared" si="57"/>
        <v>0</v>
      </c>
      <c r="E18" s="323">
        <v>0</v>
      </c>
      <c r="F18" s="323">
        <f t="shared" si="58"/>
        <v>0</v>
      </c>
      <c r="G18" s="323">
        <f t="shared" si="59"/>
        <v>0</v>
      </c>
      <c r="H18" s="323">
        <v>0</v>
      </c>
      <c r="I18" s="323">
        <f t="shared" si="60"/>
        <v>0</v>
      </c>
      <c r="J18" s="323">
        <f t="shared" si="61"/>
        <v>0</v>
      </c>
      <c r="K18" s="323">
        <v>0</v>
      </c>
      <c r="L18" s="323">
        <f t="shared" si="62"/>
        <v>0</v>
      </c>
      <c r="M18" s="323">
        <f t="shared" si="63"/>
        <v>0</v>
      </c>
      <c r="N18" s="323">
        <v>288</v>
      </c>
      <c r="O18" s="323">
        <f t="shared" si="64"/>
        <v>288</v>
      </c>
      <c r="P18" s="323">
        <f t="shared" si="65"/>
        <v>0</v>
      </c>
      <c r="Q18" s="323">
        <v>252</v>
      </c>
      <c r="R18" s="323">
        <f t="shared" si="66"/>
        <v>252</v>
      </c>
      <c r="S18" s="323">
        <f t="shared" si="67"/>
        <v>0</v>
      </c>
    </row>
    <row r="19" spans="1:19" x14ac:dyDescent="0.2">
      <c r="A19" s="187" t="s">
        <v>393</v>
      </c>
      <c r="B19" s="323">
        <v>0</v>
      </c>
      <c r="C19" s="323">
        <f t="shared" si="56"/>
        <v>0</v>
      </c>
      <c r="D19" s="323">
        <f t="shared" si="57"/>
        <v>0</v>
      </c>
      <c r="E19" s="323">
        <v>0</v>
      </c>
      <c r="F19" s="323">
        <f t="shared" si="58"/>
        <v>0</v>
      </c>
      <c r="G19" s="323">
        <f t="shared" si="59"/>
        <v>0</v>
      </c>
      <c r="H19" s="323">
        <v>0</v>
      </c>
      <c r="I19" s="323">
        <f t="shared" si="60"/>
        <v>0</v>
      </c>
      <c r="J19" s="323">
        <f t="shared" si="61"/>
        <v>0</v>
      </c>
      <c r="K19" s="323">
        <v>0</v>
      </c>
      <c r="L19" s="323">
        <f t="shared" si="62"/>
        <v>0</v>
      </c>
      <c r="M19" s="323">
        <f t="shared" si="63"/>
        <v>0</v>
      </c>
      <c r="N19" s="323">
        <v>72</v>
      </c>
      <c r="O19" s="323">
        <f t="shared" si="64"/>
        <v>72</v>
      </c>
      <c r="P19" s="323">
        <f t="shared" si="65"/>
        <v>0</v>
      </c>
      <c r="Q19" s="323">
        <v>48</v>
      </c>
      <c r="R19" s="323">
        <f t="shared" si="66"/>
        <v>48</v>
      </c>
      <c r="S19" s="323">
        <f t="shared" si="67"/>
        <v>0</v>
      </c>
    </row>
    <row r="20" spans="1:19" x14ac:dyDescent="0.2">
      <c r="A20" s="187" t="s">
        <v>393</v>
      </c>
      <c r="B20" s="315">
        <v>0</v>
      </c>
      <c r="C20" s="315">
        <v>0</v>
      </c>
      <c r="D20" s="315">
        <v>0</v>
      </c>
      <c r="E20" s="315">
        <v>0</v>
      </c>
      <c r="F20" s="315">
        <f t="shared" si="2"/>
        <v>0</v>
      </c>
      <c r="G20" s="315">
        <f t="shared" si="3"/>
        <v>0</v>
      </c>
      <c r="H20" s="315">
        <v>0</v>
      </c>
      <c r="I20" s="315">
        <f t="shared" si="4"/>
        <v>0</v>
      </c>
      <c r="J20" s="315">
        <f t="shared" si="5"/>
        <v>0</v>
      </c>
      <c r="K20" s="315">
        <v>97.5</v>
      </c>
      <c r="L20" s="315">
        <f t="shared" si="6"/>
        <v>97.5</v>
      </c>
      <c r="M20" s="315">
        <f t="shared" si="7"/>
        <v>0</v>
      </c>
      <c r="N20" s="315">
        <v>489</v>
      </c>
      <c r="O20" s="315">
        <f>N20</f>
        <v>489</v>
      </c>
      <c r="P20" s="315">
        <f>N20-O20</f>
        <v>0</v>
      </c>
      <c r="Q20" s="315">
        <v>477</v>
      </c>
      <c r="R20" s="315">
        <f>Q20</f>
        <v>477</v>
      </c>
      <c r="S20" s="315">
        <f>Q20-R20</f>
        <v>0</v>
      </c>
    </row>
    <row r="21" spans="1:19" x14ac:dyDescent="0.2">
      <c r="A21" s="187" t="s">
        <v>393</v>
      </c>
      <c r="B21" s="245">
        <v>144</v>
      </c>
      <c r="C21" s="310">
        <f t="shared" si="0"/>
        <v>144</v>
      </c>
      <c r="D21" s="310">
        <f t="shared" si="1"/>
        <v>0</v>
      </c>
      <c r="E21" s="245">
        <v>0</v>
      </c>
      <c r="F21" s="245">
        <f t="shared" si="2"/>
        <v>0</v>
      </c>
      <c r="G21" s="245">
        <f t="shared" si="3"/>
        <v>0</v>
      </c>
      <c r="H21" s="245">
        <v>0</v>
      </c>
      <c r="I21" s="245">
        <f t="shared" si="4"/>
        <v>0</v>
      </c>
      <c r="J21" s="245">
        <f t="shared" si="5"/>
        <v>0</v>
      </c>
      <c r="K21" s="315">
        <v>0</v>
      </c>
      <c r="L21" s="245">
        <f t="shared" si="6"/>
        <v>0</v>
      </c>
      <c r="M21" s="245">
        <f t="shared" si="7"/>
        <v>0</v>
      </c>
      <c r="N21" s="310">
        <v>0</v>
      </c>
      <c r="O21" s="245">
        <f t="shared" si="8"/>
        <v>0</v>
      </c>
      <c r="P21" s="245">
        <f t="shared" si="9"/>
        <v>0</v>
      </c>
      <c r="Q21" s="310">
        <f t="shared" si="12"/>
        <v>0</v>
      </c>
      <c r="R21" s="245">
        <f t="shared" si="10"/>
        <v>0</v>
      </c>
      <c r="S21" s="245">
        <f t="shared" si="11"/>
        <v>0</v>
      </c>
    </row>
    <row r="22" spans="1:19" x14ac:dyDescent="0.2">
      <c r="A22" s="187" t="s">
        <v>393</v>
      </c>
      <c r="B22" s="245">
        <v>144</v>
      </c>
      <c r="C22" s="310">
        <f t="shared" si="0"/>
        <v>144</v>
      </c>
      <c r="D22" s="310">
        <f t="shared" si="1"/>
        <v>0</v>
      </c>
      <c r="E22" s="245">
        <v>0</v>
      </c>
      <c r="F22" s="245">
        <f t="shared" ref="F22:F38" si="68">E22</f>
        <v>0</v>
      </c>
      <c r="G22" s="245">
        <f t="shared" ref="G22:G38" si="69">E22-F22</f>
        <v>0</v>
      </c>
      <c r="H22" s="245">
        <v>0</v>
      </c>
      <c r="I22" s="245">
        <f t="shared" ref="I22:I38" si="70">H22</f>
        <v>0</v>
      </c>
      <c r="J22" s="245">
        <f t="shared" ref="J22:J38" si="71">H22-I22</f>
        <v>0</v>
      </c>
      <c r="K22" s="315">
        <v>0</v>
      </c>
      <c r="L22" s="245">
        <f t="shared" ref="L22:L38" si="72">K22</f>
        <v>0</v>
      </c>
      <c r="M22" s="245">
        <f t="shared" ref="M22:M38" si="73">K22-L22</f>
        <v>0</v>
      </c>
      <c r="N22" s="310">
        <v>0</v>
      </c>
      <c r="O22" s="245">
        <f t="shared" ref="O22:O37" si="74">N22</f>
        <v>0</v>
      </c>
      <c r="P22" s="245">
        <f t="shared" ref="P22:P38" si="75">N22-O22</f>
        <v>0</v>
      </c>
      <c r="Q22" s="310">
        <f t="shared" si="12"/>
        <v>0</v>
      </c>
      <c r="R22" s="245">
        <f t="shared" ref="R22:R37" si="76">Q22</f>
        <v>0</v>
      </c>
      <c r="S22" s="245">
        <f t="shared" ref="S22:S38" si="77">Q22-R22</f>
        <v>0</v>
      </c>
    </row>
    <row r="23" spans="1:19" x14ac:dyDescent="0.2">
      <c r="A23" s="187" t="s">
        <v>393</v>
      </c>
      <c r="B23" s="323">
        <v>0</v>
      </c>
      <c r="C23" s="323">
        <f t="shared" ref="C23:C27" si="78">B23</f>
        <v>0</v>
      </c>
      <c r="D23" s="323">
        <f t="shared" ref="D23:D27" si="79">B23-C23</f>
        <v>0</v>
      </c>
      <c r="E23" s="323">
        <v>0</v>
      </c>
      <c r="F23" s="323">
        <f t="shared" ref="F23:F27" si="80">E23</f>
        <v>0</v>
      </c>
      <c r="G23" s="323">
        <f t="shared" ref="G23:G27" si="81">E23-F23</f>
        <v>0</v>
      </c>
      <c r="H23" s="323">
        <v>0</v>
      </c>
      <c r="I23" s="323">
        <f t="shared" ref="I23:I27" si="82">H23</f>
        <v>0</v>
      </c>
      <c r="J23" s="323">
        <f t="shared" ref="J23:J27" si="83">H23-I23</f>
        <v>0</v>
      </c>
      <c r="K23" s="323">
        <v>0</v>
      </c>
      <c r="L23" s="323">
        <f t="shared" ref="L23:L27" si="84">K23</f>
        <v>0</v>
      </c>
      <c r="M23" s="323">
        <f t="shared" ref="M23:M27" si="85">K23-L23</f>
        <v>0</v>
      </c>
      <c r="N23" s="323">
        <v>217.2</v>
      </c>
      <c r="O23" s="323">
        <f t="shared" ref="O23:O27" si="86">N23</f>
        <v>217.2</v>
      </c>
      <c r="P23" s="323">
        <f t="shared" ref="P23:P27" si="87">N23-O23</f>
        <v>0</v>
      </c>
      <c r="Q23" s="323">
        <v>357.6</v>
      </c>
      <c r="R23" s="323">
        <f t="shared" ref="R23:R27" si="88">Q23</f>
        <v>357.6</v>
      </c>
      <c r="S23" s="323">
        <f t="shared" ref="S23:S27" si="89">Q23-R23</f>
        <v>0</v>
      </c>
    </row>
    <row r="24" spans="1:19" x14ac:dyDescent="0.2">
      <c r="A24" s="187" t="s">
        <v>393</v>
      </c>
      <c r="B24" s="323">
        <v>0</v>
      </c>
      <c r="C24" s="323">
        <f t="shared" si="78"/>
        <v>0</v>
      </c>
      <c r="D24" s="323">
        <f t="shared" si="79"/>
        <v>0</v>
      </c>
      <c r="E24" s="323">
        <v>0</v>
      </c>
      <c r="F24" s="323">
        <f t="shared" si="80"/>
        <v>0</v>
      </c>
      <c r="G24" s="323">
        <f t="shared" si="81"/>
        <v>0</v>
      </c>
      <c r="H24" s="323">
        <v>0</v>
      </c>
      <c r="I24" s="323">
        <f t="shared" si="82"/>
        <v>0</v>
      </c>
      <c r="J24" s="323">
        <f t="shared" si="83"/>
        <v>0</v>
      </c>
      <c r="K24" s="323">
        <v>0</v>
      </c>
      <c r="L24" s="323">
        <f t="shared" si="84"/>
        <v>0</v>
      </c>
      <c r="M24" s="323">
        <f t="shared" si="85"/>
        <v>0</v>
      </c>
      <c r="N24" s="323">
        <v>72</v>
      </c>
      <c r="O24" s="323">
        <f t="shared" si="86"/>
        <v>72</v>
      </c>
      <c r="P24" s="323">
        <f t="shared" si="87"/>
        <v>0</v>
      </c>
      <c r="Q24" s="323">
        <v>66</v>
      </c>
      <c r="R24" s="323">
        <f t="shared" si="88"/>
        <v>66</v>
      </c>
      <c r="S24" s="323">
        <f t="shared" si="89"/>
        <v>0</v>
      </c>
    </row>
    <row r="25" spans="1:19" x14ac:dyDescent="0.2">
      <c r="A25" s="187" t="s">
        <v>393</v>
      </c>
      <c r="B25" s="323">
        <v>0</v>
      </c>
      <c r="C25" s="323">
        <f t="shared" si="78"/>
        <v>0</v>
      </c>
      <c r="D25" s="323">
        <f t="shared" si="79"/>
        <v>0</v>
      </c>
      <c r="E25" s="323">
        <v>0</v>
      </c>
      <c r="F25" s="323">
        <f t="shared" si="80"/>
        <v>0</v>
      </c>
      <c r="G25" s="323">
        <f t="shared" si="81"/>
        <v>0</v>
      </c>
      <c r="H25" s="323">
        <v>0</v>
      </c>
      <c r="I25" s="323">
        <f t="shared" si="82"/>
        <v>0</v>
      </c>
      <c r="J25" s="323">
        <f t="shared" si="83"/>
        <v>0</v>
      </c>
      <c r="K25" s="323">
        <v>0</v>
      </c>
      <c r="L25" s="323">
        <f t="shared" si="84"/>
        <v>0</v>
      </c>
      <c r="M25" s="323">
        <f t="shared" si="85"/>
        <v>0</v>
      </c>
      <c r="N25" s="323">
        <v>384</v>
      </c>
      <c r="O25" s="323">
        <f t="shared" si="86"/>
        <v>384</v>
      </c>
      <c r="P25" s="323">
        <f t="shared" si="87"/>
        <v>0</v>
      </c>
      <c r="Q25" s="323">
        <v>384</v>
      </c>
      <c r="R25" s="323">
        <f t="shared" si="88"/>
        <v>384</v>
      </c>
      <c r="S25" s="323">
        <f t="shared" si="89"/>
        <v>0</v>
      </c>
    </row>
    <row r="26" spans="1:19" x14ac:dyDescent="0.2">
      <c r="A26" s="187" t="s">
        <v>393</v>
      </c>
      <c r="B26" s="323">
        <v>0</v>
      </c>
      <c r="C26" s="323">
        <f t="shared" ref="C26" si="90">B26</f>
        <v>0</v>
      </c>
      <c r="D26" s="323">
        <f t="shared" ref="D26" si="91">B26-C26</f>
        <v>0</v>
      </c>
      <c r="E26" s="323">
        <v>0</v>
      </c>
      <c r="F26" s="323">
        <f t="shared" ref="F26" si="92">E26</f>
        <v>0</v>
      </c>
      <c r="G26" s="323">
        <f t="shared" ref="G26" si="93">E26-F26</f>
        <v>0</v>
      </c>
      <c r="H26" s="323">
        <v>0</v>
      </c>
      <c r="I26" s="323">
        <f t="shared" ref="I26" si="94">H26</f>
        <v>0</v>
      </c>
      <c r="J26" s="323">
        <f t="shared" ref="J26" si="95">H26-I26</f>
        <v>0</v>
      </c>
      <c r="K26" s="323">
        <v>0</v>
      </c>
      <c r="L26" s="323">
        <f t="shared" ref="L26" si="96">K26</f>
        <v>0</v>
      </c>
      <c r="M26" s="323">
        <f t="shared" ref="M26" si="97">K26-L26</f>
        <v>0</v>
      </c>
      <c r="N26" s="323">
        <v>409.2</v>
      </c>
      <c r="O26" s="323">
        <f t="shared" ref="O26" si="98">N26</f>
        <v>409.2</v>
      </c>
      <c r="P26" s="323">
        <f t="shared" ref="P26" si="99">N26-O26</f>
        <v>0</v>
      </c>
      <c r="Q26" s="323">
        <v>295.2</v>
      </c>
      <c r="R26" s="323">
        <f t="shared" ref="R26" si="100">Q26</f>
        <v>295.2</v>
      </c>
      <c r="S26" s="323">
        <f t="shared" ref="S26" si="101">Q26-R26</f>
        <v>0</v>
      </c>
    </row>
    <row r="27" spans="1:19" x14ac:dyDescent="0.2">
      <c r="A27" s="187" t="s">
        <v>393</v>
      </c>
      <c r="B27" s="323">
        <v>0</v>
      </c>
      <c r="C27" s="323">
        <f t="shared" si="78"/>
        <v>0</v>
      </c>
      <c r="D27" s="323">
        <f t="shared" si="79"/>
        <v>0</v>
      </c>
      <c r="E27" s="323">
        <v>0</v>
      </c>
      <c r="F27" s="323">
        <f t="shared" si="80"/>
        <v>0</v>
      </c>
      <c r="G27" s="323">
        <f t="shared" si="81"/>
        <v>0</v>
      </c>
      <c r="H27" s="323">
        <v>0</v>
      </c>
      <c r="I27" s="323">
        <f t="shared" si="82"/>
        <v>0</v>
      </c>
      <c r="J27" s="323">
        <f t="shared" si="83"/>
        <v>0</v>
      </c>
      <c r="K27" s="323">
        <v>0</v>
      </c>
      <c r="L27" s="323">
        <f t="shared" si="84"/>
        <v>0</v>
      </c>
      <c r="M27" s="323">
        <f t="shared" si="85"/>
        <v>0</v>
      </c>
      <c r="N27" s="323">
        <v>282</v>
      </c>
      <c r="O27" s="323">
        <f t="shared" si="86"/>
        <v>282</v>
      </c>
      <c r="P27" s="323">
        <f t="shared" si="87"/>
        <v>0</v>
      </c>
      <c r="Q27" s="323">
        <v>144</v>
      </c>
      <c r="R27" s="323">
        <f t="shared" si="88"/>
        <v>144</v>
      </c>
      <c r="S27" s="323">
        <f t="shared" si="89"/>
        <v>0</v>
      </c>
    </row>
    <row r="28" spans="1:19" x14ac:dyDescent="0.2">
      <c r="A28" s="187" t="s">
        <v>393</v>
      </c>
      <c r="B28" s="245">
        <v>24</v>
      </c>
      <c r="C28" s="310">
        <f t="shared" si="0"/>
        <v>24</v>
      </c>
      <c r="D28" s="310">
        <f t="shared" si="1"/>
        <v>0</v>
      </c>
      <c r="E28" s="245">
        <v>0</v>
      </c>
      <c r="F28" s="245">
        <f t="shared" si="68"/>
        <v>0</v>
      </c>
      <c r="G28" s="245">
        <f t="shared" si="69"/>
        <v>0</v>
      </c>
      <c r="H28" s="245">
        <v>0</v>
      </c>
      <c r="I28" s="245">
        <f t="shared" si="70"/>
        <v>0</v>
      </c>
      <c r="J28" s="245">
        <f t="shared" si="71"/>
        <v>0</v>
      </c>
      <c r="K28" s="315">
        <v>0</v>
      </c>
      <c r="L28" s="245">
        <f t="shared" si="72"/>
        <v>0</v>
      </c>
      <c r="M28" s="245">
        <f t="shared" si="73"/>
        <v>0</v>
      </c>
      <c r="N28" s="310">
        <v>0</v>
      </c>
      <c r="O28" s="245">
        <f t="shared" si="74"/>
        <v>0</v>
      </c>
      <c r="P28" s="245">
        <f t="shared" si="75"/>
        <v>0</v>
      </c>
      <c r="Q28" s="310">
        <f t="shared" si="12"/>
        <v>0</v>
      </c>
      <c r="R28" s="245">
        <f t="shared" si="76"/>
        <v>0</v>
      </c>
      <c r="S28" s="245">
        <f t="shared" si="77"/>
        <v>0</v>
      </c>
    </row>
    <row r="29" spans="1:19" x14ac:dyDescent="0.2">
      <c r="A29" s="187" t="s">
        <v>393</v>
      </c>
      <c r="B29" s="323">
        <v>0</v>
      </c>
      <c r="C29" s="323">
        <f t="shared" ref="C29:C30" si="102">B29</f>
        <v>0</v>
      </c>
      <c r="D29" s="323">
        <f t="shared" ref="D29:D30" si="103">B29-C29</f>
        <v>0</v>
      </c>
      <c r="E29" s="323">
        <v>0</v>
      </c>
      <c r="F29" s="323">
        <f t="shared" ref="F29:F30" si="104">E29</f>
        <v>0</v>
      </c>
      <c r="G29" s="323">
        <f t="shared" ref="G29:G30" si="105">E29-F29</f>
        <v>0</v>
      </c>
      <c r="H29" s="323">
        <v>0</v>
      </c>
      <c r="I29" s="323">
        <f t="shared" ref="I29:I30" si="106">H29</f>
        <v>0</v>
      </c>
      <c r="J29" s="323">
        <f t="shared" ref="J29:J30" si="107">H29-I29</f>
        <v>0</v>
      </c>
      <c r="K29" s="323">
        <v>0</v>
      </c>
      <c r="L29" s="323">
        <f t="shared" ref="L29:L30" si="108">K29</f>
        <v>0</v>
      </c>
      <c r="M29" s="323">
        <f t="shared" ref="M29:M30" si="109">K29-L29</f>
        <v>0</v>
      </c>
      <c r="N29" s="323">
        <v>150</v>
      </c>
      <c r="O29" s="323">
        <f t="shared" ref="O29:O30" si="110">N29</f>
        <v>150</v>
      </c>
      <c r="P29" s="323">
        <f t="shared" ref="P29:P30" si="111">N29-O29</f>
        <v>0</v>
      </c>
      <c r="Q29" s="323">
        <v>84</v>
      </c>
      <c r="R29" s="323">
        <f t="shared" ref="R29:R30" si="112">Q29</f>
        <v>84</v>
      </c>
      <c r="S29" s="323">
        <f t="shared" ref="S29:S30" si="113">Q29-R29</f>
        <v>0</v>
      </c>
    </row>
    <row r="30" spans="1:19" x14ac:dyDescent="0.2">
      <c r="A30" s="187" t="s">
        <v>393</v>
      </c>
      <c r="B30" s="323">
        <v>0</v>
      </c>
      <c r="C30" s="323">
        <f t="shared" si="102"/>
        <v>0</v>
      </c>
      <c r="D30" s="323">
        <f t="shared" si="103"/>
        <v>0</v>
      </c>
      <c r="E30" s="323">
        <v>0</v>
      </c>
      <c r="F30" s="323">
        <f t="shared" si="104"/>
        <v>0</v>
      </c>
      <c r="G30" s="323">
        <f t="shared" si="105"/>
        <v>0</v>
      </c>
      <c r="H30" s="323">
        <v>0</v>
      </c>
      <c r="I30" s="323">
        <f t="shared" si="106"/>
        <v>0</v>
      </c>
      <c r="J30" s="323">
        <f t="shared" si="107"/>
        <v>0</v>
      </c>
      <c r="K30" s="323">
        <v>0</v>
      </c>
      <c r="L30" s="323">
        <f t="shared" si="108"/>
        <v>0</v>
      </c>
      <c r="M30" s="323">
        <f t="shared" si="109"/>
        <v>0</v>
      </c>
      <c r="N30" s="323">
        <v>246</v>
      </c>
      <c r="O30" s="323">
        <f t="shared" si="110"/>
        <v>246</v>
      </c>
      <c r="P30" s="323">
        <f t="shared" si="111"/>
        <v>0</v>
      </c>
      <c r="Q30" s="323">
        <v>72</v>
      </c>
      <c r="R30" s="323">
        <f t="shared" si="112"/>
        <v>72</v>
      </c>
      <c r="S30" s="323">
        <f t="shared" si="113"/>
        <v>0</v>
      </c>
    </row>
    <row r="31" spans="1:19" x14ac:dyDescent="0.2">
      <c r="A31" s="187" t="s">
        <v>393</v>
      </c>
      <c r="B31" s="207">
        <v>168</v>
      </c>
      <c r="C31" s="310">
        <f t="shared" si="0"/>
        <v>168</v>
      </c>
      <c r="D31" s="310">
        <f t="shared" si="1"/>
        <v>0</v>
      </c>
      <c r="E31" s="207">
        <v>0</v>
      </c>
      <c r="F31" s="207">
        <f t="shared" si="68"/>
        <v>0</v>
      </c>
      <c r="G31" s="207">
        <f t="shared" si="69"/>
        <v>0</v>
      </c>
      <c r="H31" s="245">
        <v>0</v>
      </c>
      <c r="I31" s="245">
        <f t="shared" si="70"/>
        <v>0</v>
      </c>
      <c r="J31" s="245">
        <f t="shared" si="71"/>
        <v>0</v>
      </c>
      <c r="K31" s="315">
        <v>0</v>
      </c>
      <c r="L31" s="208">
        <f t="shared" si="72"/>
        <v>0</v>
      </c>
      <c r="M31" s="208">
        <f t="shared" si="73"/>
        <v>0</v>
      </c>
      <c r="N31" s="310">
        <v>0</v>
      </c>
      <c r="O31" s="232">
        <f t="shared" si="74"/>
        <v>0</v>
      </c>
      <c r="P31" s="232">
        <f t="shared" si="75"/>
        <v>0</v>
      </c>
      <c r="Q31" s="310">
        <f t="shared" si="12"/>
        <v>0</v>
      </c>
      <c r="R31" s="245">
        <f t="shared" si="76"/>
        <v>0</v>
      </c>
      <c r="S31" s="245">
        <f t="shared" si="77"/>
        <v>0</v>
      </c>
    </row>
    <row r="32" spans="1:19" x14ac:dyDescent="0.2">
      <c r="A32" s="187" t="s">
        <v>393</v>
      </c>
      <c r="B32" s="17">
        <v>144</v>
      </c>
      <c r="C32" s="310">
        <f t="shared" si="0"/>
        <v>144</v>
      </c>
      <c r="D32" s="310">
        <f t="shared" si="1"/>
        <v>0</v>
      </c>
      <c r="E32" s="17">
        <v>216</v>
      </c>
      <c r="F32" s="139">
        <f t="shared" si="68"/>
        <v>216</v>
      </c>
      <c r="G32" s="17">
        <f t="shared" si="69"/>
        <v>0</v>
      </c>
      <c r="H32" s="245">
        <v>0</v>
      </c>
      <c r="I32" s="245">
        <f t="shared" si="70"/>
        <v>0</v>
      </c>
      <c r="J32" s="245">
        <f t="shared" si="71"/>
        <v>0</v>
      </c>
      <c r="K32" s="315">
        <v>0</v>
      </c>
      <c r="L32" s="208">
        <f t="shared" si="72"/>
        <v>0</v>
      </c>
      <c r="M32" s="208">
        <f t="shared" si="73"/>
        <v>0</v>
      </c>
      <c r="N32" s="310">
        <v>780</v>
      </c>
      <c r="O32" s="232">
        <f t="shared" si="74"/>
        <v>780</v>
      </c>
      <c r="P32" s="232">
        <f t="shared" si="75"/>
        <v>0</v>
      </c>
      <c r="Q32" s="310">
        <v>792</v>
      </c>
      <c r="R32" s="245">
        <f t="shared" si="76"/>
        <v>792</v>
      </c>
      <c r="S32" s="245">
        <f t="shared" si="77"/>
        <v>0</v>
      </c>
    </row>
    <row r="33" spans="1:20" x14ac:dyDescent="0.2">
      <c r="A33" s="187" t="s">
        <v>393</v>
      </c>
      <c r="B33" s="176">
        <f>121.5+162+81</f>
        <v>364.5</v>
      </c>
      <c r="C33" s="310">
        <f t="shared" si="0"/>
        <v>364.5</v>
      </c>
      <c r="D33" s="310">
        <f t="shared" si="1"/>
        <v>0</v>
      </c>
      <c r="E33" s="176">
        <v>0</v>
      </c>
      <c r="F33" s="176">
        <f t="shared" si="68"/>
        <v>0</v>
      </c>
      <c r="G33" s="176">
        <f t="shared" si="69"/>
        <v>0</v>
      </c>
      <c r="H33" s="245">
        <v>0</v>
      </c>
      <c r="I33" s="245">
        <f t="shared" si="70"/>
        <v>0</v>
      </c>
      <c r="J33" s="245">
        <f t="shared" si="71"/>
        <v>0</v>
      </c>
      <c r="K33" s="315">
        <v>0</v>
      </c>
      <c r="L33" s="208">
        <f t="shared" si="72"/>
        <v>0</v>
      </c>
      <c r="M33" s="208">
        <f t="shared" si="73"/>
        <v>0</v>
      </c>
      <c r="N33" s="310">
        <v>0</v>
      </c>
      <c r="O33" s="232">
        <f t="shared" si="74"/>
        <v>0</v>
      </c>
      <c r="P33" s="232">
        <f t="shared" si="75"/>
        <v>0</v>
      </c>
      <c r="Q33" s="310">
        <f t="shared" si="12"/>
        <v>0</v>
      </c>
      <c r="R33" s="245">
        <f t="shared" si="76"/>
        <v>0</v>
      </c>
      <c r="S33" s="245">
        <f t="shared" si="77"/>
        <v>0</v>
      </c>
    </row>
    <row r="34" spans="1:20" x14ac:dyDescent="0.2">
      <c r="A34" s="187" t="s">
        <v>393</v>
      </c>
      <c r="B34" s="323">
        <v>0</v>
      </c>
      <c r="C34" s="323">
        <f t="shared" ref="C34" si="114">B34</f>
        <v>0</v>
      </c>
      <c r="D34" s="323">
        <f t="shared" ref="D34" si="115">B34-C34</f>
        <v>0</v>
      </c>
      <c r="E34" s="323">
        <v>0</v>
      </c>
      <c r="F34" s="323">
        <f t="shared" ref="F34" si="116">E34</f>
        <v>0</v>
      </c>
      <c r="G34" s="323">
        <f t="shared" ref="G34" si="117">E34-F34</f>
        <v>0</v>
      </c>
      <c r="H34" s="323">
        <v>0</v>
      </c>
      <c r="I34" s="323">
        <f t="shared" ref="I34" si="118">H34</f>
        <v>0</v>
      </c>
      <c r="J34" s="323">
        <f t="shared" ref="J34" si="119">H34-I34</f>
        <v>0</v>
      </c>
      <c r="K34" s="323">
        <v>0</v>
      </c>
      <c r="L34" s="323">
        <f t="shared" ref="L34" si="120">K34</f>
        <v>0</v>
      </c>
      <c r="M34" s="323">
        <f t="shared" ref="M34" si="121">K34-L34</f>
        <v>0</v>
      </c>
      <c r="N34" s="323">
        <v>288</v>
      </c>
      <c r="O34" s="323">
        <f t="shared" ref="O34" si="122">N34</f>
        <v>288</v>
      </c>
      <c r="P34" s="323">
        <f t="shared" ref="P34" si="123">N34-O34</f>
        <v>0</v>
      </c>
      <c r="Q34" s="323">
        <v>216</v>
      </c>
      <c r="R34" s="323">
        <f t="shared" ref="R34" si="124">Q34</f>
        <v>216</v>
      </c>
      <c r="S34" s="323">
        <f t="shared" ref="S34" si="125">Q34-R34</f>
        <v>0</v>
      </c>
    </row>
    <row r="35" spans="1:20" x14ac:dyDescent="0.2">
      <c r="A35" s="187" t="s">
        <v>393</v>
      </c>
      <c r="B35" s="323">
        <v>0</v>
      </c>
      <c r="C35" s="323">
        <f t="shared" ref="C35" si="126">B35</f>
        <v>0</v>
      </c>
      <c r="D35" s="323">
        <f t="shared" ref="D35" si="127">B35-C35</f>
        <v>0</v>
      </c>
      <c r="E35" s="323">
        <v>0</v>
      </c>
      <c r="F35" s="323">
        <f t="shared" ref="F35" si="128">E35</f>
        <v>0</v>
      </c>
      <c r="G35" s="323">
        <f t="shared" ref="G35" si="129">E35-F35</f>
        <v>0</v>
      </c>
      <c r="H35" s="323">
        <v>0</v>
      </c>
      <c r="I35" s="323">
        <f t="shared" ref="I35" si="130">H35</f>
        <v>0</v>
      </c>
      <c r="J35" s="323">
        <f t="shared" ref="J35" si="131">H35-I35</f>
        <v>0</v>
      </c>
      <c r="K35" s="323">
        <v>0</v>
      </c>
      <c r="L35" s="323">
        <f t="shared" ref="L35" si="132">K35</f>
        <v>0</v>
      </c>
      <c r="M35" s="323">
        <f t="shared" ref="M35" si="133">K35-L35</f>
        <v>0</v>
      </c>
      <c r="N35" s="323">
        <v>864</v>
      </c>
      <c r="O35" s="323">
        <f t="shared" ref="O35" si="134">N35</f>
        <v>864</v>
      </c>
      <c r="P35" s="323">
        <f t="shared" ref="P35" si="135">N35-O35</f>
        <v>0</v>
      </c>
      <c r="Q35" s="323">
        <f t="shared" ref="Q35" si="136">N35</f>
        <v>864</v>
      </c>
      <c r="R35" s="323">
        <f t="shared" ref="R35" si="137">Q35</f>
        <v>864</v>
      </c>
      <c r="S35" s="323">
        <f t="shared" ref="S35" si="138">Q35-R35</f>
        <v>0</v>
      </c>
    </row>
    <row r="36" spans="1:20" x14ac:dyDescent="0.2">
      <c r="A36" s="187" t="s">
        <v>393</v>
      </c>
      <c r="B36" s="245">
        <v>24</v>
      </c>
      <c r="C36" s="310">
        <f t="shared" si="0"/>
        <v>24</v>
      </c>
      <c r="D36" s="310">
        <f t="shared" si="1"/>
        <v>0</v>
      </c>
      <c r="E36" s="245">
        <v>0</v>
      </c>
      <c r="F36" s="245">
        <f t="shared" si="68"/>
        <v>0</v>
      </c>
      <c r="G36" s="245">
        <f t="shared" si="69"/>
        <v>0</v>
      </c>
      <c r="H36" s="245">
        <v>0</v>
      </c>
      <c r="I36" s="245">
        <f t="shared" si="70"/>
        <v>0</v>
      </c>
      <c r="J36" s="245">
        <f t="shared" si="71"/>
        <v>0</v>
      </c>
      <c r="K36" s="315">
        <v>0</v>
      </c>
      <c r="L36" s="245">
        <f t="shared" si="72"/>
        <v>0</v>
      </c>
      <c r="M36" s="245">
        <f t="shared" si="73"/>
        <v>0</v>
      </c>
      <c r="N36" s="310">
        <v>0</v>
      </c>
      <c r="O36" s="245">
        <f t="shared" si="74"/>
        <v>0</v>
      </c>
      <c r="P36" s="245">
        <f t="shared" si="75"/>
        <v>0</v>
      </c>
      <c r="Q36" s="310">
        <f t="shared" si="12"/>
        <v>0</v>
      </c>
      <c r="R36" s="245">
        <f t="shared" si="76"/>
        <v>0</v>
      </c>
      <c r="S36" s="245">
        <f t="shared" si="77"/>
        <v>0</v>
      </c>
    </row>
    <row r="37" spans="1:20" x14ac:dyDescent="0.2">
      <c r="A37" s="187" t="s">
        <v>393</v>
      </c>
      <c r="B37" s="176">
        <v>288</v>
      </c>
      <c r="C37" s="310">
        <f t="shared" si="0"/>
        <v>288</v>
      </c>
      <c r="D37" s="310">
        <f t="shared" si="1"/>
        <v>0</v>
      </c>
      <c r="E37" s="176">
        <v>0</v>
      </c>
      <c r="F37" s="176">
        <f t="shared" si="68"/>
        <v>0</v>
      </c>
      <c r="G37" s="176">
        <f t="shared" si="69"/>
        <v>0</v>
      </c>
      <c r="H37" s="245">
        <v>0</v>
      </c>
      <c r="I37" s="245">
        <f t="shared" si="70"/>
        <v>0</v>
      </c>
      <c r="J37" s="245">
        <f t="shared" si="71"/>
        <v>0</v>
      </c>
      <c r="K37" s="315">
        <v>0</v>
      </c>
      <c r="L37" s="208">
        <f t="shared" si="72"/>
        <v>0</v>
      </c>
      <c r="M37" s="208">
        <f t="shared" si="73"/>
        <v>0</v>
      </c>
      <c r="N37" s="310">
        <v>0</v>
      </c>
      <c r="O37" s="232">
        <f t="shared" si="74"/>
        <v>0</v>
      </c>
      <c r="P37" s="232">
        <f t="shared" si="75"/>
        <v>0</v>
      </c>
      <c r="Q37" s="310">
        <f t="shared" si="12"/>
        <v>0</v>
      </c>
      <c r="R37" s="245">
        <f t="shared" si="76"/>
        <v>0</v>
      </c>
      <c r="S37" s="245">
        <f t="shared" si="77"/>
        <v>0</v>
      </c>
    </row>
    <row r="38" spans="1:20" x14ac:dyDescent="0.2">
      <c r="A38" s="187" t="s">
        <v>393</v>
      </c>
      <c r="B38" s="315">
        <v>0</v>
      </c>
      <c r="C38" s="315">
        <f t="shared" si="0"/>
        <v>0</v>
      </c>
      <c r="D38" s="315">
        <f t="shared" si="1"/>
        <v>0</v>
      </c>
      <c r="E38" s="315">
        <v>0</v>
      </c>
      <c r="F38" s="315">
        <f t="shared" si="68"/>
        <v>0</v>
      </c>
      <c r="G38" s="315">
        <f t="shared" si="69"/>
        <v>0</v>
      </c>
      <c r="H38" s="315">
        <v>0</v>
      </c>
      <c r="I38" s="315">
        <f t="shared" si="70"/>
        <v>0</v>
      </c>
      <c r="J38" s="315">
        <f t="shared" si="71"/>
        <v>0</v>
      </c>
      <c r="K38" s="315">
        <v>81</v>
      </c>
      <c r="L38" s="315">
        <f t="shared" si="72"/>
        <v>81</v>
      </c>
      <c r="M38" s="315">
        <f t="shared" si="73"/>
        <v>0</v>
      </c>
      <c r="N38" s="315">
        <v>0</v>
      </c>
      <c r="O38" s="315">
        <f>N38</f>
        <v>0</v>
      </c>
      <c r="P38" s="315">
        <f t="shared" si="75"/>
        <v>0</v>
      </c>
      <c r="Q38" s="315">
        <f>N38</f>
        <v>0</v>
      </c>
      <c r="R38" s="315">
        <f>Q38</f>
        <v>0</v>
      </c>
      <c r="S38" s="315">
        <f t="shared" si="77"/>
        <v>0</v>
      </c>
    </row>
    <row r="39" spans="1:20" x14ac:dyDescent="0.2">
      <c r="A39" s="187" t="s">
        <v>393</v>
      </c>
      <c r="B39" s="245">
        <v>108</v>
      </c>
      <c r="C39" s="310">
        <f>B39</f>
        <v>108</v>
      </c>
      <c r="D39" s="310">
        <f>B39-C39</f>
        <v>0</v>
      </c>
      <c r="E39" s="245">
        <v>0</v>
      </c>
      <c r="F39" s="245">
        <f>E39</f>
        <v>0</v>
      </c>
      <c r="G39" s="245">
        <f>E39-F39</f>
        <v>0</v>
      </c>
      <c r="H39" s="245">
        <v>0</v>
      </c>
      <c r="I39" s="245">
        <f>H39</f>
        <v>0</v>
      </c>
      <c r="J39" s="245">
        <f>H39-I39</f>
        <v>0</v>
      </c>
      <c r="K39" s="315">
        <v>0</v>
      </c>
      <c r="L39" s="245">
        <f>K39</f>
        <v>0</v>
      </c>
      <c r="M39" s="245">
        <f>K39-L39</f>
        <v>0</v>
      </c>
      <c r="N39" s="310">
        <v>0</v>
      </c>
      <c r="O39" s="245">
        <f>N39</f>
        <v>0</v>
      </c>
      <c r="P39" s="245">
        <f>N39-O39</f>
        <v>0</v>
      </c>
      <c r="Q39" s="310">
        <f>N39</f>
        <v>0</v>
      </c>
      <c r="R39" s="245">
        <f>Q39</f>
        <v>0</v>
      </c>
      <c r="S39" s="245">
        <f>Q39-R39</f>
        <v>0</v>
      </c>
    </row>
    <row r="40" spans="1:20" x14ac:dyDescent="0.2">
      <c r="A40" s="187" t="s">
        <v>393</v>
      </c>
      <c r="B40" s="176">
        <v>72</v>
      </c>
      <c r="C40" s="310">
        <f>B40</f>
        <v>72</v>
      </c>
      <c r="D40" s="310">
        <f>B40-C40</f>
        <v>0</v>
      </c>
      <c r="E40" s="176">
        <v>0</v>
      </c>
      <c r="F40" s="176">
        <f>E40</f>
        <v>0</v>
      </c>
      <c r="G40" s="176">
        <f>E40-F40</f>
        <v>0</v>
      </c>
      <c r="H40" s="245">
        <v>0</v>
      </c>
      <c r="I40" s="245">
        <f>H40</f>
        <v>0</v>
      </c>
      <c r="J40" s="245">
        <f>H40-I40</f>
        <v>0</v>
      </c>
      <c r="K40" s="315">
        <v>0</v>
      </c>
      <c r="L40" s="208">
        <f>K40</f>
        <v>0</v>
      </c>
      <c r="M40" s="208">
        <f>K40-L40</f>
        <v>0</v>
      </c>
      <c r="N40" s="310">
        <v>0</v>
      </c>
      <c r="O40" s="232">
        <f>N40</f>
        <v>0</v>
      </c>
      <c r="P40" s="232">
        <f>N40-O40</f>
        <v>0</v>
      </c>
      <c r="Q40" s="310">
        <v>180</v>
      </c>
      <c r="R40" s="245">
        <f>Q40</f>
        <v>180</v>
      </c>
      <c r="S40" s="245">
        <f>Q40-R40</f>
        <v>0</v>
      </c>
    </row>
    <row r="41" spans="1:20" x14ac:dyDescent="0.2">
      <c r="A41" s="187" t="s">
        <v>393</v>
      </c>
      <c r="B41" s="323">
        <v>0</v>
      </c>
      <c r="C41" s="323">
        <f t="shared" ref="C41:C45" si="139">B41</f>
        <v>0</v>
      </c>
      <c r="D41" s="323">
        <f t="shared" ref="D41:D45" si="140">B41-C41</f>
        <v>0</v>
      </c>
      <c r="E41" s="323">
        <v>0</v>
      </c>
      <c r="F41" s="323">
        <f t="shared" ref="F41:F45" si="141">E41</f>
        <v>0</v>
      </c>
      <c r="G41" s="323">
        <f t="shared" ref="G41:G45" si="142">E41-F41</f>
        <v>0</v>
      </c>
      <c r="H41" s="323">
        <v>0</v>
      </c>
      <c r="I41" s="323">
        <f t="shared" ref="I41:I45" si="143">H41</f>
        <v>0</v>
      </c>
      <c r="J41" s="323">
        <f t="shared" ref="J41:J45" si="144">H41-I41</f>
        <v>0</v>
      </c>
      <c r="K41" s="323">
        <v>0</v>
      </c>
      <c r="L41" s="323">
        <f t="shared" ref="L41:L45" si="145">K41</f>
        <v>0</v>
      </c>
      <c r="M41" s="323">
        <f t="shared" ref="M41:M45" si="146">K41-L41</f>
        <v>0</v>
      </c>
      <c r="N41" s="323">
        <v>324</v>
      </c>
      <c r="O41" s="323">
        <f t="shared" ref="O41:O45" si="147">N41</f>
        <v>324</v>
      </c>
      <c r="P41" s="323">
        <f t="shared" ref="P41:P45" si="148">N41-O41</f>
        <v>0</v>
      </c>
      <c r="Q41" s="323">
        <v>243</v>
      </c>
      <c r="R41" s="323">
        <f t="shared" ref="R41:R45" si="149">Q41</f>
        <v>243</v>
      </c>
      <c r="S41" s="323">
        <f t="shared" ref="S41:S45" si="150">Q41-R41</f>
        <v>0</v>
      </c>
    </row>
    <row r="42" spans="1:20" x14ac:dyDescent="0.2">
      <c r="A42" s="187" t="s">
        <v>393</v>
      </c>
      <c r="B42" s="323">
        <v>0</v>
      </c>
      <c r="C42" s="323">
        <f t="shared" si="139"/>
        <v>0</v>
      </c>
      <c r="D42" s="323">
        <f t="shared" si="140"/>
        <v>0</v>
      </c>
      <c r="E42" s="323">
        <v>0</v>
      </c>
      <c r="F42" s="323">
        <f t="shared" si="141"/>
        <v>0</v>
      </c>
      <c r="G42" s="323">
        <f t="shared" si="142"/>
        <v>0</v>
      </c>
      <c r="H42" s="323">
        <v>0</v>
      </c>
      <c r="I42" s="323">
        <f t="shared" si="143"/>
        <v>0</v>
      </c>
      <c r="J42" s="323">
        <f t="shared" si="144"/>
        <v>0</v>
      </c>
      <c r="K42" s="323">
        <v>0</v>
      </c>
      <c r="L42" s="323">
        <f t="shared" si="145"/>
        <v>0</v>
      </c>
      <c r="M42" s="323">
        <f t="shared" si="146"/>
        <v>0</v>
      </c>
      <c r="N42" s="323">
        <v>648</v>
      </c>
      <c r="O42" s="323">
        <f t="shared" si="147"/>
        <v>648</v>
      </c>
      <c r="P42" s="323">
        <f t="shared" si="148"/>
        <v>0</v>
      </c>
      <c r="Q42" s="323">
        <v>288</v>
      </c>
      <c r="R42" s="323">
        <f t="shared" si="149"/>
        <v>288</v>
      </c>
      <c r="S42" s="323">
        <f t="shared" si="150"/>
        <v>0</v>
      </c>
    </row>
    <row r="43" spans="1:20" x14ac:dyDescent="0.2">
      <c r="A43" s="187" t="s">
        <v>393</v>
      </c>
      <c r="B43" s="323">
        <v>0</v>
      </c>
      <c r="C43" s="323">
        <f t="shared" si="139"/>
        <v>0</v>
      </c>
      <c r="D43" s="323">
        <f t="shared" si="140"/>
        <v>0</v>
      </c>
      <c r="E43" s="323">
        <v>0</v>
      </c>
      <c r="F43" s="323">
        <f t="shared" si="141"/>
        <v>0</v>
      </c>
      <c r="G43" s="323">
        <f t="shared" si="142"/>
        <v>0</v>
      </c>
      <c r="H43" s="323">
        <v>0</v>
      </c>
      <c r="I43" s="323">
        <f t="shared" si="143"/>
        <v>0</v>
      </c>
      <c r="J43" s="323">
        <f t="shared" si="144"/>
        <v>0</v>
      </c>
      <c r="K43" s="323">
        <v>0</v>
      </c>
      <c r="L43" s="323">
        <f t="shared" si="145"/>
        <v>0</v>
      </c>
      <c r="M43" s="323">
        <f t="shared" si="146"/>
        <v>0</v>
      </c>
      <c r="N43" s="323">
        <v>528</v>
      </c>
      <c r="O43" s="323">
        <f t="shared" si="147"/>
        <v>528</v>
      </c>
      <c r="P43" s="323">
        <f t="shared" si="148"/>
        <v>0</v>
      </c>
      <c r="Q43" s="323">
        <v>660</v>
      </c>
      <c r="R43" s="323">
        <f t="shared" si="149"/>
        <v>660</v>
      </c>
      <c r="S43" s="323">
        <f t="shared" si="150"/>
        <v>0</v>
      </c>
    </row>
    <row r="44" spans="1:20" x14ac:dyDescent="0.2">
      <c r="A44" s="187" t="s">
        <v>393</v>
      </c>
      <c r="B44" s="323">
        <v>0</v>
      </c>
      <c r="C44" s="323">
        <f t="shared" si="139"/>
        <v>0</v>
      </c>
      <c r="D44" s="323">
        <f t="shared" si="140"/>
        <v>0</v>
      </c>
      <c r="E44" s="323">
        <v>0</v>
      </c>
      <c r="F44" s="323">
        <f t="shared" si="141"/>
        <v>0</v>
      </c>
      <c r="G44" s="323">
        <f t="shared" si="142"/>
        <v>0</v>
      </c>
      <c r="H44" s="323">
        <v>0</v>
      </c>
      <c r="I44" s="323">
        <f t="shared" si="143"/>
        <v>0</v>
      </c>
      <c r="J44" s="323">
        <f t="shared" si="144"/>
        <v>0</v>
      </c>
      <c r="K44" s="323">
        <v>0</v>
      </c>
      <c r="L44" s="323">
        <f t="shared" si="145"/>
        <v>0</v>
      </c>
      <c r="M44" s="323">
        <f t="shared" si="146"/>
        <v>0</v>
      </c>
      <c r="N44" s="323">
        <v>318</v>
      </c>
      <c r="O44" s="323">
        <f t="shared" si="147"/>
        <v>318</v>
      </c>
      <c r="P44" s="323">
        <f t="shared" si="148"/>
        <v>0</v>
      </c>
      <c r="Q44" s="323">
        <v>300</v>
      </c>
      <c r="R44" s="323">
        <f t="shared" si="149"/>
        <v>300</v>
      </c>
      <c r="S44" s="323">
        <f t="shared" si="150"/>
        <v>0</v>
      </c>
    </row>
    <row r="45" spans="1:20" x14ac:dyDescent="0.2">
      <c r="A45" s="187" t="s">
        <v>393</v>
      </c>
      <c r="B45" s="323">
        <v>0</v>
      </c>
      <c r="C45" s="323">
        <f t="shared" si="139"/>
        <v>0</v>
      </c>
      <c r="D45" s="323">
        <f t="shared" si="140"/>
        <v>0</v>
      </c>
      <c r="E45" s="323">
        <v>0</v>
      </c>
      <c r="F45" s="323">
        <f t="shared" si="141"/>
        <v>0</v>
      </c>
      <c r="G45" s="323">
        <f t="shared" si="142"/>
        <v>0</v>
      </c>
      <c r="H45" s="323">
        <v>0</v>
      </c>
      <c r="I45" s="323">
        <f t="shared" si="143"/>
        <v>0</v>
      </c>
      <c r="J45" s="323">
        <f t="shared" si="144"/>
        <v>0</v>
      </c>
      <c r="K45" s="323">
        <v>0</v>
      </c>
      <c r="L45" s="323">
        <f t="shared" si="145"/>
        <v>0</v>
      </c>
      <c r="M45" s="323">
        <f t="shared" si="146"/>
        <v>0</v>
      </c>
      <c r="N45" s="323">
        <v>120</v>
      </c>
      <c r="O45" s="323">
        <f t="shared" si="147"/>
        <v>120</v>
      </c>
      <c r="P45" s="323">
        <f t="shared" si="148"/>
        <v>0</v>
      </c>
      <c r="Q45" s="323">
        <v>96</v>
      </c>
      <c r="R45" s="323">
        <f t="shared" si="149"/>
        <v>96</v>
      </c>
      <c r="S45" s="323">
        <f t="shared" si="150"/>
        <v>0</v>
      </c>
    </row>
    <row r="46" spans="1:20" x14ac:dyDescent="0.2">
      <c r="A46" s="16" t="s">
        <v>34</v>
      </c>
      <c r="B46" s="19">
        <f>SUM(B3:B45)</f>
        <v>2550.9</v>
      </c>
      <c r="C46" s="322">
        <f t="shared" ref="C46:S46" si="151">SUM(C3:C45)</f>
        <v>2550.9</v>
      </c>
      <c r="D46" s="322">
        <f t="shared" si="151"/>
        <v>0</v>
      </c>
      <c r="E46" s="322">
        <f t="shared" si="151"/>
        <v>216</v>
      </c>
      <c r="F46" s="322">
        <f t="shared" si="151"/>
        <v>216</v>
      </c>
      <c r="G46" s="322">
        <f t="shared" si="151"/>
        <v>0</v>
      </c>
      <c r="H46" s="322">
        <f t="shared" si="151"/>
        <v>0</v>
      </c>
      <c r="I46" s="322">
        <f t="shared" si="151"/>
        <v>0</v>
      </c>
      <c r="J46" s="322">
        <f t="shared" si="151"/>
        <v>0</v>
      </c>
      <c r="K46" s="322">
        <f t="shared" si="151"/>
        <v>178.5</v>
      </c>
      <c r="L46" s="322">
        <f t="shared" si="151"/>
        <v>178.5</v>
      </c>
      <c r="M46" s="322">
        <f t="shared" si="151"/>
        <v>0</v>
      </c>
      <c r="N46" s="322">
        <f t="shared" si="151"/>
        <v>8809.3499999999985</v>
      </c>
      <c r="O46" s="322">
        <f t="shared" si="151"/>
        <v>8809.3499999999985</v>
      </c>
      <c r="P46" s="322">
        <f t="shared" si="151"/>
        <v>0</v>
      </c>
      <c r="Q46" s="322">
        <f t="shared" si="151"/>
        <v>7805.4</v>
      </c>
      <c r="R46" s="322">
        <f t="shared" si="151"/>
        <v>7805.4</v>
      </c>
      <c r="S46" s="322">
        <f t="shared" si="151"/>
        <v>0</v>
      </c>
      <c r="T46" s="113"/>
    </row>
    <row r="47" spans="1:20" s="25" customFormat="1" x14ac:dyDescent="0.2">
      <c r="A47" s="24"/>
      <c r="B47" s="368" t="s">
        <v>130</v>
      </c>
      <c r="C47" s="368"/>
      <c r="D47" s="368"/>
      <c r="E47" s="368" t="s">
        <v>131</v>
      </c>
      <c r="F47" s="368"/>
      <c r="G47" s="368"/>
      <c r="H47" s="368" t="s">
        <v>132</v>
      </c>
      <c r="I47" s="368"/>
      <c r="J47" s="368"/>
      <c r="K47" s="368" t="s">
        <v>133</v>
      </c>
      <c r="L47" s="368"/>
      <c r="M47" s="368"/>
      <c r="N47" s="368" t="s">
        <v>15</v>
      </c>
      <c r="O47" s="368"/>
      <c r="P47" s="368"/>
      <c r="Q47" s="368" t="s">
        <v>134</v>
      </c>
      <c r="R47" s="368"/>
      <c r="S47" s="368"/>
    </row>
    <row r="48" spans="1:20" x14ac:dyDescent="0.2">
      <c r="B48" s="17" t="s">
        <v>34</v>
      </c>
      <c r="C48" s="17" t="s">
        <v>31</v>
      </c>
      <c r="D48" s="17" t="s">
        <v>32</v>
      </c>
      <c r="E48" s="17" t="s">
        <v>34</v>
      </c>
      <c r="F48" s="17" t="s">
        <v>31</v>
      </c>
      <c r="G48" s="17" t="s">
        <v>32</v>
      </c>
      <c r="H48" s="17" t="s">
        <v>34</v>
      </c>
      <c r="I48" s="17" t="s">
        <v>31</v>
      </c>
      <c r="J48" s="17" t="s">
        <v>32</v>
      </c>
      <c r="K48" s="17" t="s">
        <v>34</v>
      </c>
      <c r="L48" s="17" t="s">
        <v>31</v>
      </c>
      <c r="M48" s="17" t="s">
        <v>32</v>
      </c>
      <c r="N48" s="17" t="s">
        <v>34</v>
      </c>
      <c r="O48" s="17" t="s">
        <v>31</v>
      </c>
      <c r="P48" s="17" t="s">
        <v>32</v>
      </c>
      <c r="Q48" s="17" t="s">
        <v>34</v>
      </c>
      <c r="R48" s="17" t="s">
        <v>31</v>
      </c>
      <c r="S48" s="17" t="s">
        <v>32</v>
      </c>
    </row>
    <row r="49" spans="1:20" x14ac:dyDescent="0.2">
      <c r="A49" s="187" t="s">
        <v>393</v>
      </c>
      <c r="B49" s="353">
        <f>5.8+4.2+50</f>
        <v>60</v>
      </c>
      <c r="C49" s="353">
        <f>B49</f>
        <v>60</v>
      </c>
      <c r="D49" s="353">
        <f>B49-C49</f>
        <v>0</v>
      </c>
      <c r="E49" s="353">
        <v>0</v>
      </c>
      <c r="F49" s="353">
        <f t="shared" ref="F49:R64" si="152">E49</f>
        <v>0</v>
      </c>
      <c r="G49" s="353">
        <f t="shared" ref="G49:G79" si="153">E49-F49</f>
        <v>0</v>
      </c>
      <c r="H49" s="357">
        <v>0</v>
      </c>
      <c r="I49" s="357">
        <f t="shared" ref="I49" si="154">H49</f>
        <v>0</v>
      </c>
      <c r="J49" s="357">
        <f t="shared" ref="J49" si="155">H49-I49</f>
        <v>0</v>
      </c>
      <c r="K49" s="357">
        <v>0</v>
      </c>
      <c r="L49" s="357">
        <f t="shared" ref="L49" si="156">K49</f>
        <v>0</v>
      </c>
      <c r="M49" s="357">
        <f t="shared" ref="M49" si="157">K49-L49</f>
        <v>0</v>
      </c>
      <c r="N49" s="357">
        <v>0</v>
      </c>
      <c r="O49" s="357">
        <f t="shared" ref="O49" si="158">N49</f>
        <v>0</v>
      </c>
      <c r="P49" s="357">
        <f t="shared" ref="P49" si="159">N49-O49</f>
        <v>0</v>
      </c>
      <c r="Q49" s="357">
        <v>0</v>
      </c>
      <c r="R49" s="357">
        <f t="shared" ref="R49" si="160">Q49</f>
        <v>0</v>
      </c>
      <c r="S49" s="357">
        <f t="shared" ref="S49" si="161">Q49-R49</f>
        <v>0</v>
      </c>
    </row>
    <row r="50" spans="1:20" x14ac:dyDescent="0.2">
      <c r="A50" s="187" t="s">
        <v>393</v>
      </c>
      <c r="B50" s="353">
        <f>12+7+125</f>
        <v>144</v>
      </c>
      <c r="C50" s="353">
        <f t="shared" ref="C50:C79" si="162">B50</f>
        <v>144</v>
      </c>
      <c r="D50" s="353">
        <f t="shared" ref="D50:D79" si="163">B50-C50</f>
        <v>0</v>
      </c>
      <c r="E50" s="353">
        <v>0</v>
      </c>
      <c r="F50" s="353">
        <f t="shared" si="152"/>
        <v>0</v>
      </c>
      <c r="G50" s="353">
        <f t="shared" si="153"/>
        <v>0</v>
      </c>
      <c r="H50" s="357">
        <v>0</v>
      </c>
      <c r="I50" s="357">
        <f t="shared" ref="I50" si="164">H50</f>
        <v>0</v>
      </c>
      <c r="J50" s="357">
        <f t="shared" ref="J50:J79" si="165">H50-I50</f>
        <v>0</v>
      </c>
      <c r="K50" s="357">
        <v>0</v>
      </c>
      <c r="L50" s="357">
        <f t="shared" ref="L50" si="166">K50</f>
        <v>0</v>
      </c>
      <c r="M50" s="357">
        <f t="shared" ref="M50:M79" si="167">K50-L50</f>
        <v>0</v>
      </c>
      <c r="N50" s="357">
        <v>0</v>
      </c>
      <c r="O50" s="357">
        <f t="shared" ref="O50" si="168">N50</f>
        <v>0</v>
      </c>
      <c r="P50" s="357">
        <f t="shared" ref="P50:P79" si="169">N50-O50</f>
        <v>0</v>
      </c>
      <c r="Q50" s="357">
        <v>0</v>
      </c>
      <c r="R50" s="357">
        <f t="shared" ref="R50" si="170">Q50</f>
        <v>0</v>
      </c>
      <c r="S50" s="357">
        <f t="shared" ref="S50" si="171">Q50-R50</f>
        <v>0</v>
      </c>
    </row>
    <row r="51" spans="1:20" x14ac:dyDescent="0.2">
      <c r="A51" s="187" t="s">
        <v>393</v>
      </c>
      <c r="B51" s="353">
        <f>81.25</f>
        <v>81.25</v>
      </c>
      <c r="C51" s="353">
        <f t="shared" si="162"/>
        <v>81.25</v>
      </c>
      <c r="D51" s="353">
        <f t="shared" si="163"/>
        <v>0</v>
      </c>
      <c r="E51" s="353">
        <v>0</v>
      </c>
      <c r="F51" s="353">
        <f t="shared" si="152"/>
        <v>0</v>
      </c>
      <c r="G51" s="353">
        <f t="shared" si="153"/>
        <v>0</v>
      </c>
      <c r="H51" s="357">
        <v>0</v>
      </c>
      <c r="I51" s="357">
        <f t="shared" ref="I51" si="172">H51</f>
        <v>0</v>
      </c>
      <c r="J51" s="357">
        <f t="shared" si="165"/>
        <v>0</v>
      </c>
      <c r="K51" s="357">
        <v>0</v>
      </c>
      <c r="L51" s="357">
        <f t="shared" ref="L51:L52" si="173">K51</f>
        <v>0</v>
      </c>
      <c r="M51" s="357">
        <f t="shared" si="167"/>
        <v>0</v>
      </c>
      <c r="N51" s="357">
        <v>0</v>
      </c>
      <c r="O51" s="357">
        <f t="shared" ref="O51:O52" si="174">N51</f>
        <v>0</v>
      </c>
      <c r="P51" s="357">
        <f t="shared" si="169"/>
        <v>0</v>
      </c>
      <c r="Q51" s="357">
        <v>0</v>
      </c>
      <c r="R51" s="357">
        <f t="shared" ref="R51:R52" si="175">Q51</f>
        <v>0</v>
      </c>
      <c r="S51" s="357">
        <f t="shared" ref="S51:S79" si="176">Q51-R51</f>
        <v>0</v>
      </c>
    </row>
    <row r="52" spans="1:20" x14ac:dyDescent="0.2">
      <c r="A52" s="187" t="s">
        <v>393</v>
      </c>
      <c r="B52" s="357">
        <v>0</v>
      </c>
      <c r="C52" s="357">
        <f t="shared" ref="C52" si="177">B52</f>
        <v>0</v>
      </c>
      <c r="D52" s="357">
        <f t="shared" ref="D52" si="178">B52-C52</f>
        <v>0</v>
      </c>
      <c r="E52" s="357">
        <v>75</v>
      </c>
      <c r="F52" s="357">
        <f t="shared" ref="F52" si="179">E52</f>
        <v>75</v>
      </c>
      <c r="G52" s="357">
        <f t="shared" ref="G52" si="180">E52-F52</f>
        <v>0</v>
      </c>
      <c r="H52" s="357">
        <f>E52</f>
        <v>75</v>
      </c>
      <c r="I52" s="357">
        <f t="shared" ref="I52" si="181">H52</f>
        <v>75</v>
      </c>
      <c r="J52" s="357">
        <f t="shared" ref="J52" si="182">H52-I52</f>
        <v>0</v>
      </c>
      <c r="K52" s="357">
        <f t="shared" ref="K52" si="183">H52</f>
        <v>75</v>
      </c>
      <c r="L52" s="357">
        <f t="shared" si="173"/>
        <v>75</v>
      </c>
      <c r="M52" s="357">
        <f t="shared" si="167"/>
        <v>0</v>
      </c>
      <c r="N52" s="357">
        <f t="shared" ref="N52" si="184">K52</f>
        <v>75</v>
      </c>
      <c r="O52" s="357">
        <f t="shared" si="174"/>
        <v>75</v>
      </c>
      <c r="P52" s="357">
        <f t="shared" si="169"/>
        <v>0</v>
      </c>
      <c r="Q52" s="357">
        <f t="shared" ref="Q52" si="185">N52</f>
        <v>75</v>
      </c>
      <c r="R52" s="357">
        <f t="shared" si="175"/>
        <v>75</v>
      </c>
      <c r="S52" s="357">
        <f t="shared" si="176"/>
        <v>0</v>
      </c>
    </row>
    <row r="53" spans="1:20" x14ac:dyDescent="0.2">
      <c r="A53" s="187" t="s">
        <v>393</v>
      </c>
      <c r="B53" s="232">
        <f>40.5+38.5+275</f>
        <v>354</v>
      </c>
      <c r="C53" s="353">
        <f t="shared" si="162"/>
        <v>354</v>
      </c>
      <c r="D53" s="353">
        <f t="shared" si="163"/>
        <v>0</v>
      </c>
      <c r="E53" s="353">
        <v>175</v>
      </c>
      <c r="F53" s="353">
        <f t="shared" si="152"/>
        <v>175</v>
      </c>
      <c r="G53" s="353">
        <f t="shared" si="153"/>
        <v>0</v>
      </c>
      <c r="H53" s="353">
        <f t="shared" ref="H53" si="186">40.5+38.5+275</f>
        <v>354</v>
      </c>
      <c r="I53" s="353">
        <f t="shared" si="152"/>
        <v>354</v>
      </c>
      <c r="J53" s="353">
        <f t="shared" si="165"/>
        <v>0</v>
      </c>
      <c r="K53" s="353">
        <f t="shared" ref="K53" si="187">40.5+38.5+275</f>
        <v>354</v>
      </c>
      <c r="L53" s="353">
        <f t="shared" si="152"/>
        <v>354</v>
      </c>
      <c r="M53" s="353">
        <f t="shared" si="167"/>
        <v>0</v>
      </c>
      <c r="N53" s="353">
        <f t="shared" ref="N53" si="188">40.5+38.5+275</f>
        <v>354</v>
      </c>
      <c r="O53" s="353">
        <f t="shared" si="152"/>
        <v>354</v>
      </c>
      <c r="P53" s="353">
        <f t="shared" si="169"/>
        <v>0</v>
      </c>
      <c r="Q53" s="353">
        <f t="shared" ref="Q53" si="189">40.5+38.5+275</f>
        <v>354</v>
      </c>
      <c r="R53" s="353">
        <f t="shared" si="152"/>
        <v>354</v>
      </c>
      <c r="S53" s="357">
        <f t="shared" si="176"/>
        <v>0</v>
      </c>
    </row>
    <row r="54" spans="1:20" x14ac:dyDescent="0.2">
      <c r="A54" s="187" t="s">
        <v>393</v>
      </c>
      <c r="B54" s="353">
        <f>2.13+1.7+68.75</f>
        <v>72.58</v>
      </c>
      <c r="C54" s="353">
        <f t="shared" si="162"/>
        <v>72.58</v>
      </c>
      <c r="D54" s="353">
        <f t="shared" si="163"/>
        <v>0</v>
      </c>
      <c r="E54" s="353">
        <v>0</v>
      </c>
      <c r="F54" s="353">
        <f t="shared" si="152"/>
        <v>0</v>
      </c>
      <c r="G54" s="353">
        <f t="shared" si="153"/>
        <v>0</v>
      </c>
      <c r="H54" s="353">
        <f t="shared" ref="H54" si="190">2.13+1.7+68.75</f>
        <v>72.58</v>
      </c>
      <c r="I54" s="353">
        <f t="shared" si="152"/>
        <v>72.58</v>
      </c>
      <c r="J54" s="353">
        <f t="shared" si="165"/>
        <v>0</v>
      </c>
      <c r="K54" s="353">
        <f t="shared" ref="K54" si="191">2.13+1.7+68.75</f>
        <v>72.58</v>
      </c>
      <c r="L54" s="353">
        <f t="shared" si="152"/>
        <v>72.58</v>
      </c>
      <c r="M54" s="353">
        <f t="shared" si="167"/>
        <v>0</v>
      </c>
      <c r="N54" s="353">
        <f t="shared" ref="N54" si="192">2.13+1.7+68.75</f>
        <v>72.58</v>
      </c>
      <c r="O54" s="353">
        <f t="shared" si="152"/>
        <v>72.58</v>
      </c>
      <c r="P54" s="353">
        <f t="shared" si="169"/>
        <v>0</v>
      </c>
      <c r="Q54" s="353">
        <f t="shared" ref="Q54" si="193">2.13+1.7+68.75</f>
        <v>72.58</v>
      </c>
      <c r="R54" s="353">
        <f t="shared" si="152"/>
        <v>72.58</v>
      </c>
      <c r="S54" s="357">
        <f t="shared" si="176"/>
        <v>0</v>
      </c>
    </row>
    <row r="55" spans="1:20" x14ac:dyDescent="0.2">
      <c r="A55" s="187" t="s">
        <v>393</v>
      </c>
      <c r="B55" s="353">
        <f>4+3+37.5</f>
        <v>44.5</v>
      </c>
      <c r="C55" s="353">
        <f t="shared" si="162"/>
        <v>44.5</v>
      </c>
      <c r="D55" s="353">
        <f t="shared" si="163"/>
        <v>0</v>
      </c>
      <c r="E55" s="353">
        <v>0</v>
      </c>
      <c r="F55" s="353">
        <f t="shared" si="152"/>
        <v>0</v>
      </c>
      <c r="G55" s="353">
        <f t="shared" si="153"/>
        <v>0</v>
      </c>
      <c r="H55" s="353">
        <f t="shared" ref="H55" si="194">4+3+37.5</f>
        <v>44.5</v>
      </c>
      <c r="I55" s="353">
        <f t="shared" si="152"/>
        <v>44.5</v>
      </c>
      <c r="J55" s="353">
        <f t="shared" si="165"/>
        <v>0</v>
      </c>
      <c r="K55" s="353">
        <f t="shared" ref="K55" si="195">4+3+37.5</f>
        <v>44.5</v>
      </c>
      <c r="L55" s="353">
        <f t="shared" si="152"/>
        <v>44.5</v>
      </c>
      <c r="M55" s="353">
        <f t="shared" si="167"/>
        <v>0</v>
      </c>
      <c r="N55" s="353">
        <f t="shared" ref="N55" si="196">4+3+37.5</f>
        <v>44.5</v>
      </c>
      <c r="O55" s="353">
        <f t="shared" si="152"/>
        <v>44.5</v>
      </c>
      <c r="P55" s="353">
        <f t="shared" si="169"/>
        <v>0</v>
      </c>
      <c r="Q55" s="353">
        <f t="shared" ref="Q55" si="197">4+3+37.5</f>
        <v>44.5</v>
      </c>
      <c r="R55" s="353">
        <f t="shared" si="152"/>
        <v>44.5</v>
      </c>
      <c r="S55" s="357">
        <f t="shared" si="176"/>
        <v>0</v>
      </c>
    </row>
    <row r="56" spans="1:20" x14ac:dyDescent="0.2">
      <c r="A56" s="187" t="s">
        <v>393</v>
      </c>
      <c r="B56" s="353">
        <f>12+6+75</f>
        <v>93</v>
      </c>
      <c r="C56" s="353">
        <f t="shared" si="162"/>
        <v>93</v>
      </c>
      <c r="D56" s="353">
        <f t="shared" si="163"/>
        <v>0</v>
      </c>
      <c r="E56" s="353">
        <v>300</v>
      </c>
      <c r="F56" s="353">
        <f t="shared" si="152"/>
        <v>300</v>
      </c>
      <c r="G56" s="353">
        <f t="shared" si="153"/>
        <v>0</v>
      </c>
      <c r="H56" s="353">
        <f t="shared" ref="H56:H57" si="198">12+6+75</f>
        <v>93</v>
      </c>
      <c r="I56" s="353">
        <f t="shared" si="152"/>
        <v>93</v>
      </c>
      <c r="J56" s="353">
        <f t="shared" si="165"/>
        <v>0</v>
      </c>
      <c r="K56" s="353">
        <f t="shared" ref="K56:K57" si="199">12+6+75</f>
        <v>93</v>
      </c>
      <c r="L56" s="353">
        <f t="shared" si="152"/>
        <v>93</v>
      </c>
      <c r="M56" s="353">
        <f t="shared" si="167"/>
        <v>0</v>
      </c>
      <c r="N56" s="353">
        <f t="shared" ref="N56:N57" si="200">12+6+75</f>
        <v>93</v>
      </c>
      <c r="O56" s="353">
        <f t="shared" si="152"/>
        <v>93</v>
      </c>
      <c r="P56" s="353">
        <f t="shared" si="169"/>
        <v>0</v>
      </c>
      <c r="Q56" s="353">
        <f t="shared" ref="Q56:Q57" si="201">12+6+75</f>
        <v>93</v>
      </c>
      <c r="R56" s="353">
        <f t="shared" si="152"/>
        <v>93</v>
      </c>
      <c r="S56" s="357">
        <f t="shared" si="176"/>
        <v>0</v>
      </c>
      <c r="T56" s="187"/>
    </row>
    <row r="57" spans="1:20" x14ac:dyDescent="0.2">
      <c r="A57" s="187" t="s">
        <v>393</v>
      </c>
      <c r="B57" s="357">
        <v>0</v>
      </c>
      <c r="C57" s="357">
        <f t="shared" ref="C57" si="202">B57</f>
        <v>0</v>
      </c>
      <c r="D57" s="357">
        <f t="shared" ref="D57" si="203">B57-C57</f>
        <v>0</v>
      </c>
      <c r="E57" s="357">
        <v>84</v>
      </c>
      <c r="F57" s="357">
        <f t="shared" ref="F57" si="204">E57</f>
        <v>84</v>
      </c>
      <c r="G57" s="357">
        <f t="shared" ref="G57" si="205">E57-F57</f>
        <v>0</v>
      </c>
      <c r="H57" s="357">
        <f t="shared" si="198"/>
        <v>93</v>
      </c>
      <c r="I57" s="357">
        <f t="shared" ref="I57" si="206">H57</f>
        <v>93</v>
      </c>
      <c r="J57" s="357">
        <f t="shared" ref="J57" si="207">H57-I57</f>
        <v>0</v>
      </c>
      <c r="K57" s="357">
        <f t="shared" si="199"/>
        <v>93</v>
      </c>
      <c r="L57" s="357">
        <f t="shared" ref="L57" si="208">K57</f>
        <v>93</v>
      </c>
      <c r="M57" s="357">
        <f t="shared" ref="M57" si="209">K57-L57</f>
        <v>0</v>
      </c>
      <c r="N57" s="357">
        <f t="shared" si="200"/>
        <v>93</v>
      </c>
      <c r="O57" s="357">
        <f t="shared" ref="O57" si="210">N57</f>
        <v>93</v>
      </c>
      <c r="P57" s="357">
        <f t="shared" ref="P57" si="211">N57-O57</f>
        <v>0</v>
      </c>
      <c r="Q57" s="357">
        <f t="shared" si="201"/>
        <v>93</v>
      </c>
      <c r="R57" s="357">
        <f t="shared" ref="R57" si="212">Q57</f>
        <v>93</v>
      </c>
      <c r="S57" s="357">
        <f t="shared" ref="S57" si="213">Q57-R57</f>
        <v>0</v>
      </c>
      <c r="T57" s="187"/>
    </row>
    <row r="58" spans="1:20" x14ac:dyDescent="0.2">
      <c r="A58" s="187" t="s">
        <v>393</v>
      </c>
      <c r="B58" s="286">
        <v>3</v>
      </c>
      <c r="C58" s="353">
        <f t="shared" si="162"/>
        <v>3</v>
      </c>
      <c r="D58" s="353">
        <f t="shared" si="163"/>
        <v>0</v>
      </c>
      <c r="E58" s="353">
        <v>0</v>
      </c>
      <c r="F58" s="353">
        <f t="shared" si="152"/>
        <v>0</v>
      </c>
      <c r="G58" s="353">
        <f t="shared" si="153"/>
        <v>0</v>
      </c>
      <c r="H58" s="357">
        <v>0</v>
      </c>
      <c r="I58" s="357">
        <f t="shared" ref="I58" si="214">H58</f>
        <v>0</v>
      </c>
      <c r="J58" s="357">
        <f t="shared" si="165"/>
        <v>0</v>
      </c>
      <c r="K58" s="357">
        <v>0</v>
      </c>
      <c r="L58" s="357">
        <f t="shared" ref="L58" si="215">K58</f>
        <v>0</v>
      </c>
      <c r="M58" s="357">
        <f t="shared" si="167"/>
        <v>0</v>
      </c>
      <c r="N58" s="357">
        <v>0</v>
      </c>
      <c r="O58" s="357">
        <f t="shared" ref="O58" si="216">N58</f>
        <v>0</v>
      </c>
      <c r="P58" s="357">
        <f t="shared" si="169"/>
        <v>0</v>
      </c>
      <c r="Q58" s="357">
        <v>0</v>
      </c>
      <c r="R58" s="357">
        <f t="shared" ref="R58" si="217">Q58</f>
        <v>0</v>
      </c>
      <c r="S58" s="357">
        <f t="shared" si="176"/>
        <v>0</v>
      </c>
      <c r="T58" s="187"/>
    </row>
    <row r="59" spans="1:20" x14ac:dyDescent="0.2">
      <c r="A59" s="187" t="s">
        <v>393</v>
      </c>
      <c r="B59" s="286">
        <f>10.5+9+150</f>
        <v>169.5</v>
      </c>
      <c r="C59" s="353">
        <f t="shared" si="162"/>
        <v>169.5</v>
      </c>
      <c r="D59" s="353">
        <f t="shared" si="163"/>
        <v>0</v>
      </c>
      <c r="E59" s="353">
        <f t="shared" ref="E59" si="218">10.5+9+150</f>
        <v>169.5</v>
      </c>
      <c r="F59" s="353">
        <f t="shared" si="152"/>
        <v>169.5</v>
      </c>
      <c r="G59" s="353">
        <f t="shared" si="153"/>
        <v>0</v>
      </c>
      <c r="H59" s="353">
        <f t="shared" ref="H59" si="219">10.5+9+150</f>
        <v>169.5</v>
      </c>
      <c r="I59" s="353">
        <f t="shared" si="152"/>
        <v>169.5</v>
      </c>
      <c r="J59" s="353">
        <f t="shared" si="165"/>
        <v>0</v>
      </c>
      <c r="K59" s="353">
        <f t="shared" ref="K59" si="220">10.5+9+150</f>
        <v>169.5</v>
      </c>
      <c r="L59" s="353">
        <f t="shared" si="152"/>
        <v>169.5</v>
      </c>
      <c r="M59" s="353">
        <f t="shared" si="167"/>
        <v>0</v>
      </c>
      <c r="N59" s="353">
        <f t="shared" ref="N59" si="221">10.5+9+150</f>
        <v>169.5</v>
      </c>
      <c r="O59" s="353">
        <f t="shared" si="152"/>
        <v>169.5</v>
      </c>
      <c r="P59" s="353">
        <f t="shared" si="169"/>
        <v>0</v>
      </c>
      <c r="Q59" s="353">
        <f t="shared" ref="Q59" si="222">10.5+9+150</f>
        <v>169.5</v>
      </c>
      <c r="R59" s="353">
        <f t="shared" si="152"/>
        <v>169.5</v>
      </c>
      <c r="S59" s="357">
        <f t="shared" si="176"/>
        <v>0</v>
      </c>
      <c r="T59" s="187"/>
    </row>
    <row r="60" spans="1:20" x14ac:dyDescent="0.2">
      <c r="A60" s="187" t="s">
        <v>393</v>
      </c>
      <c r="B60" s="286">
        <f>7.5+4.5+75</f>
        <v>87</v>
      </c>
      <c r="C60" s="353">
        <f t="shared" si="162"/>
        <v>87</v>
      </c>
      <c r="D60" s="353">
        <f t="shared" si="163"/>
        <v>0</v>
      </c>
      <c r="E60" s="353">
        <f t="shared" ref="E60" si="223">7.5+4.5+75</f>
        <v>87</v>
      </c>
      <c r="F60" s="353">
        <f t="shared" si="152"/>
        <v>87</v>
      </c>
      <c r="G60" s="353">
        <f t="shared" si="153"/>
        <v>0</v>
      </c>
      <c r="H60" s="353">
        <f t="shared" ref="H60" si="224">7.5+4.5+75</f>
        <v>87</v>
      </c>
      <c r="I60" s="353">
        <f t="shared" si="152"/>
        <v>87</v>
      </c>
      <c r="J60" s="353">
        <f t="shared" si="165"/>
        <v>0</v>
      </c>
      <c r="K60" s="353">
        <f t="shared" ref="K60" si="225">7.5+4.5+75</f>
        <v>87</v>
      </c>
      <c r="L60" s="353">
        <f t="shared" si="152"/>
        <v>87</v>
      </c>
      <c r="M60" s="353">
        <f t="shared" si="167"/>
        <v>0</v>
      </c>
      <c r="N60" s="353">
        <f t="shared" ref="N60" si="226">7.5+4.5+75</f>
        <v>87</v>
      </c>
      <c r="O60" s="353">
        <f t="shared" si="152"/>
        <v>87</v>
      </c>
      <c r="P60" s="353">
        <f t="shared" si="169"/>
        <v>0</v>
      </c>
      <c r="Q60" s="353">
        <f t="shared" ref="Q60" si="227">7.5+4.5+75</f>
        <v>87</v>
      </c>
      <c r="R60" s="353">
        <f t="shared" si="152"/>
        <v>87</v>
      </c>
      <c r="S60" s="357">
        <f t="shared" si="176"/>
        <v>0</v>
      </c>
      <c r="T60" s="187"/>
    </row>
    <row r="61" spans="1:20" x14ac:dyDescent="0.2">
      <c r="A61" s="187" t="s">
        <v>393</v>
      </c>
      <c r="B61" s="286">
        <f>12+10.5+87.5</f>
        <v>110</v>
      </c>
      <c r="C61" s="353">
        <f t="shared" si="162"/>
        <v>110</v>
      </c>
      <c r="D61" s="353">
        <f t="shared" si="163"/>
        <v>0</v>
      </c>
      <c r="E61" s="353">
        <f t="shared" ref="E61" si="228">12+10.5+87.5</f>
        <v>110</v>
      </c>
      <c r="F61" s="353">
        <f t="shared" si="152"/>
        <v>110</v>
      </c>
      <c r="G61" s="353">
        <f t="shared" si="153"/>
        <v>0</v>
      </c>
      <c r="H61" s="353">
        <f t="shared" ref="H61" si="229">12+10.5+87.5</f>
        <v>110</v>
      </c>
      <c r="I61" s="353">
        <f t="shared" si="152"/>
        <v>110</v>
      </c>
      <c r="J61" s="353">
        <f t="shared" si="165"/>
        <v>0</v>
      </c>
      <c r="K61" s="353">
        <f t="shared" ref="K61" si="230">12+10.5+87.5</f>
        <v>110</v>
      </c>
      <c r="L61" s="353">
        <f t="shared" si="152"/>
        <v>110</v>
      </c>
      <c r="M61" s="353">
        <f t="shared" si="167"/>
        <v>0</v>
      </c>
      <c r="N61" s="353">
        <f t="shared" ref="N61" si="231">12+10.5+87.5</f>
        <v>110</v>
      </c>
      <c r="O61" s="353">
        <f t="shared" si="152"/>
        <v>110</v>
      </c>
      <c r="P61" s="353">
        <f t="shared" si="169"/>
        <v>0</v>
      </c>
      <c r="Q61" s="353">
        <f t="shared" ref="Q61" si="232">12+10.5+87.5</f>
        <v>110</v>
      </c>
      <c r="R61" s="353">
        <f t="shared" si="152"/>
        <v>110</v>
      </c>
      <c r="S61" s="357">
        <f t="shared" si="176"/>
        <v>0</v>
      </c>
      <c r="T61" s="187"/>
    </row>
    <row r="62" spans="1:20" x14ac:dyDescent="0.2">
      <c r="A62" s="187" t="s">
        <v>393</v>
      </c>
      <c r="B62" s="286">
        <f>3+2</f>
        <v>5</v>
      </c>
      <c r="C62" s="353">
        <f t="shared" si="162"/>
        <v>5</v>
      </c>
      <c r="D62" s="353">
        <f t="shared" si="163"/>
        <v>0</v>
      </c>
      <c r="E62" s="353">
        <f t="shared" ref="E62" si="233">3+2</f>
        <v>5</v>
      </c>
      <c r="F62" s="353">
        <f t="shared" si="152"/>
        <v>5</v>
      </c>
      <c r="G62" s="353">
        <f t="shared" si="153"/>
        <v>0</v>
      </c>
      <c r="H62" s="353">
        <f t="shared" ref="H62" si="234">3+2</f>
        <v>5</v>
      </c>
      <c r="I62" s="353">
        <f t="shared" si="152"/>
        <v>5</v>
      </c>
      <c r="J62" s="353">
        <f t="shared" si="165"/>
        <v>0</v>
      </c>
      <c r="K62" s="353">
        <f t="shared" ref="K62" si="235">3+2</f>
        <v>5</v>
      </c>
      <c r="L62" s="353">
        <f t="shared" si="152"/>
        <v>5</v>
      </c>
      <c r="M62" s="353">
        <f t="shared" si="167"/>
        <v>0</v>
      </c>
      <c r="N62" s="353">
        <f t="shared" ref="N62" si="236">3+2</f>
        <v>5</v>
      </c>
      <c r="O62" s="353">
        <f t="shared" si="152"/>
        <v>5</v>
      </c>
      <c r="P62" s="353">
        <f t="shared" si="169"/>
        <v>0</v>
      </c>
      <c r="Q62" s="353">
        <f t="shared" ref="Q62" si="237">3+2</f>
        <v>5</v>
      </c>
      <c r="R62" s="353">
        <f t="shared" si="152"/>
        <v>5</v>
      </c>
      <c r="S62" s="357">
        <f t="shared" si="176"/>
        <v>0</v>
      </c>
      <c r="T62" s="187"/>
    </row>
    <row r="63" spans="1:20" x14ac:dyDescent="0.2">
      <c r="A63" s="187" t="s">
        <v>393</v>
      </c>
      <c r="B63" s="286">
        <f>1.63+8.15+7.95+202.83</f>
        <v>220.56</v>
      </c>
      <c r="C63" s="353">
        <f t="shared" si="162"/>
        <v>220.56</v>
      </c>
      <c r="D63" s="353">
        <f t="shared" si="163"/>
        <v>0</v>
      </c>
      <c r="E63" s="353">
        <f t="shared" ref="E63" si="238">1.63+8.15+7.95+202.83</f>
        <v>220.56</v>
      </c>
      <c r="F63" s="353">
        <f t="shared" si="152"/>
        <v>220.56</v>
      </c>
      <c r="G63" s="353">
        <f t="shared" si="153"/>
        <v>0</v>
      </c>
      <c r="H63" s="353">
        <f t="shared" ref="H63" si="239">1.63+8.15+7.95+202.83</f>
        <v>220.56</v>
      </c>
      <c r="I63" s="353">
        <f t="shared" si="152"/>
        <v>220.56</v>
      </c>
      <c r="J63" s="353">
        <f t="shared" si="165"/>
        <v>0</v>
      </c>
      <c r="K63" s="353">
        <f t="shared" ref="K63" si="240">1.63+8.15+7.95+202.83</f>
        <v>220.56</v>
      </c>
      <c r="L63" s="353">
        <f t="shared" si="152"/>
        <v>220.56</v>
      </c>
      <c r="M63" s="353">
        <f t="shared" si="167"/>
        <v>0</v>
      </c>
      <c r="N63" s="353">
        <f t="shared" ref="N63" si="241">1.63+8.15+7.95+202.83</f>
        <v>220.56</v>
      </c>
      <c r="O63" s="353">
        <f t="shared" si="152"/>
        <v>220.56</v>
      </c>
      <c r="P63" s="353">
        <f t="shared" si="169"/>
        <v>0</v>
      </c>
      <c r="Q63" s="353">
        <f t="shared" ref="Q63" si="242">1.63+8.15+7.95+202.83</f>
        <v>220.56</v>
      </c>
      <c r="R63" s="353">
        <f t="shared" si="152"/>
        <v>220.56</v>
      </c>
      <c r="S63" s="357">
        <f t="shared" si="176"/>
        <v>0</v>
      </c>
      <c r="T63" s="187"/>
    </row>
    <row r="64" spans="1:20" x14ac:dyDescent="0.2">
      <c r="A64" s="187" t="s">
        <v>393</v>
      </c>
      <c r="B64" s="286">
        <f>9.05+14.9+268.75</f>
        <v>292.7</v>
      </c>
      <c r="C64" s="353">
        <f t="shared" si="162"/>
        <v>292.7</v>
      </c>
      <c r="D64" s="353">
        <f t="shared" si="163"/>
        <v>0</v>
      </c>
      <c r="E64" s="353">
        <f t="shared" ref="E64" si="243">9.05+14.9+268.75</f>
        <v>292.7</v>
      </c>
      <c r="F64" s="353">
        <f t="shared" si="152"/>
        <v>292.7</v>
      </c>
      <c r="G64" s="353">
        <f t="shared" si="153"/>
        <v>0</v>
      </c>
      <c r="H64" s="353">
        <f t="shared" ref="H64" si="244">9.05+14.9+268.75</f>
        <v>292.7</v>
      </c>
      <c r="I64" s="353">
        <f t="shared" si="152"/>
        <v>292.7</v>
      </c>
      <c r="J64" s="353">
        <f t="shared" si="165"/>
        <v>0</v>
      </c>
      <c r="K64" s="353">
        <f t="shared" ref="K64" si="245">9.05+14.9+268.75</f>
        <v>292.7</v>
      </c>
      <c r="L64" s="353">
        <f t="shared" si="152"/>
        <v>292.7</v>
      </c>
      <c r="M64" s="353">
        <f t="shared" si="167"/>
        <v>0</v>
      </c>
      <c r="N64" s="353">
        <f t="shared" ref="N64" si="246">9.05+14.9+268.75</f>
        <v>292.7</v>
      </c>
      <c r="O64" s="353">
        <f t="shared" si="152"/>
        <v>292.7</v>
      </c>
      <c r="P64" s="353">
        <f t="shared" si="169"/>
        <v>0</v>
      </c>
      <c r="Q64" s="353">
        <f t="shared" ref="Q64" si="247">9.05+14.9+268.75</f>
        <v>292.7</v>
      </c>
      <c r="R64" s="353">
        <f t="shared" si="152"/>
        <v>292.7</v>
      </c>
      <c r="S64" s="357">
        <f t="shared" si="176"/>
        <v>0</v>
      </c>
      <c r="T64" s="187"/>
    </row>
    <row r="65" spans="1:20" x14ac:dyDescent="0.2">
      <c r="A65" s="187" t="s">
        <v>393</v>
      </c>
      <c r="B65" s="286">
        <f>3+2.75+37.5</f>
        <v>43.25</v>
      </c>
      <c r="C65" s="353">
        <f t="shared" si="162"/>
        <v>43.25</v>
      </c>
      <c r="D65" s="353">
        <f t="shared" si="163"/>
        <v>0</v>
      </c>
      <c r="E65" s="353">
        <f t="shared" ref="E65" si="248">3+2.75+37.5</f>
        <v>43.25</v>
      </c>
      <c r="F65" s="353">
        <f t="shared" ref="F65:R79" si="249">E65</f>
        <v>43.25</v>
      </c>
      <c r="G65" s="353">
        <f t="shared" si="153"/>
        <v>0</v>
      </c>
      <c r="H65" s="353">
        <f t="shared" ref="H65" si="250">3+2.75+37.5</f>
        <v>43.25</v>
      </c>
      <c r="I65" s="353">
        <f t="shared" si="249"/>
        <v>43.25</v>
      </c>
      <c r="J65" s="353">
        <f t="shared" si="165"/>
        <v>0</v>
      </c>
      <c r="K65" s="353">
        <f t="shared" ref="K65" si="251">3+2.75+37.5</f>
        <v>43.25</v>
      </c>
      <c r="L65" s="353">
        <f t="shared" si="249"/>
        <v>43.25</v>
      </c>
      <c r="M65" s="353">
        <f t="shared" si="167"/>
        <v>0</v>
      </c>
      <c r="N65" s="353">
        <f t="shared" ref="N65" si="252">3+2.75+37.5</f>
        <v>43.25</v>
      </c>
      <c r="O65" s="353">
        <f t="shared" si="249"/>
        <v>43.25</v>
      </c>
      <c r="P65" s="353">
        <f t="shared" si="169"/>
        <v>0</v>
      </c>
      <c r="Q65" s="353">
        <f t="shared" ref="Q65" si="253">3+2.75+37.5</f>
        <v>43.25</v>
      </c>
      <c r="R65" s="353">
        <f t="shared" si="249"/>
        <v>43.25</v>
      </c>
      <c r="S65" s="357">
        <f t="shared" si="176"/>
        <v>0</v>
      </c>
      <c r="T65" s="187"/>
    </row>
    <row r="66" spans="1:20" x14ac:dyDescent="0.2">
      <c r="A66" s="187" t="s">
        <v>393</v>
      </c>
      <c r="B66" s="232">
        <f>16+16+200</f>
        <v>232</v>
      </c>
      <c r="C66" s="353">
        <f t="shared" si="162"/>
        <v>232</v>
      </c>
      <c r="D66" s="353">
        <f t="shared" si="163"/>
        <v>0</v>
      </c>
      <c r="E66" s="353">
        <f t="shared" ref="E66" si="254">16+16+200</f>
        <v>232</v>
      </c>
      <c r="F66" s="353">
        <f t="shared" si="249"/>
        <v>232</v>
      </c>
      <c r="G66" s="353">
        <f t="shared" si="153"/>
        <v>0</v>
      </c>
      <c r="H66" s="353">
        <f t="shared" ref="H66" si="255">16+16+200</f>
        <v>232</v>
      </c>
      <c r="I66" s="353">
        <f t="shared" si="249"/>
        <v>232</v>
      </c>
      <c r="J66" s="353">
        <f t="shared" si="165"/>
        <v>0</v>
      </c>
      <c r="K66" s="353">
        <f t="shared" ref="K66" si="256">16+16+200</f>
        <v>232</v>
      </c>
      <c r="L66" s="353">
        <f t="shared" si="249"/>
        <v>232</v>
      </c>
      <c r="M66" s="353">
        <f t="shared" si="167"/>
        <v>0</v>
      </c>
      <c r="N66" s="353">
        <f t="shared" ref="N66" si="257">16+16+200</f>
        <v>232</v>
      </c>
      <c r="O66" s="353">
        <f t="shared" si="249"/>
        <v>232</v>
      </c>
      <c r="P66" s="353">
        <f t="shared" si="169"/>
        <v>0</v>
      </c>
      <c r="Q66" s="353">
        <f t="shared" ref="Q66" si="258">16+16+200</f>
        <v>232</v>
      </c>
      <c r="R66" s="353">
        <f t="shared" si="249"/>
        <v>232</v>
      </c>
      <c r="S66" s="357">
        <f t="shared" si="176"/>
        <v>0</v>
      </c>
      <c r="T66" s="3"/>
    </row>
    <row r="67" spans="1:20" x14ac:dyDescent="0.2">
      <c r="A67" s="187" t="s">
        <v>393</v>
      </c>
      <c r="B67" s="286">
        <f>17.05+12.3+125</f>
        <v>154.35</v>
      </c>
      <c r="C67" s="353">
        <f t="shared" si="162"/>
        <v>154.35</v>
      </c>
      <c r="D67" s="353">
        <f t="shared" si="163"/>
        <v>0</v>
      </c>
      <c r="E67" s="353">
        <f t="shared" ref="E67" si="259">17.05+12.3+125</f>
        <v>154.35</v>
      </c>
      <c r="F67" s="353">
        <f t="shared" si="249"/>
        <v>154.35</v>
      </c>
      <c r="G67" s="353">
        <f t="shared" si="153"/>
        <v>0</v>
      </c>
      <c r="H67" s="353">
        <f t="shared" ref="H67" si="260">17.05+12.3+125</f>
        <v>154.35</v>
      </c>
      <c r="I67" s="353">
        <f t="shared" si="249"/>
        <v>154.35</v>
      </c>
      <c r="J67" s="353">
        <f t="shared" si="165"/>
        <v>0</v>
      </c>
      <c r="K67" s="353">
        <f t="shared" ref="K67" si="261">17.05+12.3+125</f>
        <v>154.35</v>
      </c>
      <c r="L67" s="353">
        <f t="shared" si="249"/>
        <v>154.35</v>
      </c>
      <c r="M67" s="353">
        <f t="shared" si="167"/>
        <v>0</v>
      </c>
      <c r="N67" s="353">
        <f t="shared" ref="N67" si="262">17.05+12.3+125</f>
        <v>154.35</v>
      </c>
      <c r="O67" s="353">
        <f t="shared" si="249"/>
        <v>154.35</v>
      </c>
      <c r="P67" s="353">
        <f t="shared" si="169"/>
        <v>0</v>
      </c>
      <c r="Q67" s="353">
        <f t="shared" ref="Q67" si="263">17.05+12.3+125</f>
        <v>154.35</v>
      </c>
      <c r="R67" s="353">
        <f t="shared" si="249"/>
        <v>154.35</v>
      </c>
      <c r="S67" s="357">
        <f t="shared" si="176"/>
        <v>0</v>
      </c>
      <c r="T67" s="187"/>
    </row>
    <row r="68" spans="1:20" x14ac:dyDescent="0.2">
      <c r="A68" s="187" t="s">
        <v>393</v>
      </c>
      <c r="B68" s="286">
        <f>11.75+6+151.25</f>
        <v>169</v>
      </c>
      <c r="C68" s="353">
        <f t="shared" si="162"/>
        <v>169</v>
      </c>
      <c r="D68" s="353">
        <f t="shared" si="163"/>
        <v>0</v>
      </c>
      <c r="E68" s="353">
        <f t="shared" ref="E68" si="264">11.75+6+151.25</f>
        <v>169</v>
      </c>
      <c r="F68" s="353">
        <f t="shared" si="249"/>
        <v>169</v>
      </c>
      <c r="G68" s="353">
        <f t="shared" si="153"/>
        <v>0</v>
      </c>
      <c r="H68" s="353">
        <f t="shared" ref="H68" si="265">11.75+6+151.25</f>
        <v>169</v>
      </c>
      <c r="I68" s="353">
        <f t="shared" si="249"/>
        <v>169</v>
      </c>
      <c r="J68" s="353">
        <f t="shared" si="165"/>
        <v>0</v>
      </c>
      <c r="K68" s="353">
        <f t="shared" ref="K68" si="266">11.75+6+151.25</f>
        <v>169</v>
      </c>
      <c r="L68" s="353">
        <f t="shared" si="249"/>
        <v>169</v>
      </c>
      <c r="M68" s="353">
        <f t="shared" si="167"/>
        <v>0</v>
      </c>
      <c r="N68" s="353">
        <f t="shared" ref="N68" si="267">11.75+6+151.25</f>
        <v>169</v>
      </c>
      <c r="O68" s="353">
        <f t="shared" si="249"/>
        <v>169</v>
      </c>
      <c r="P68" s="353">
        <f t="shared" si="169"/>
        <v>0</v>
      </c>
      <c r="Q68" s="353">
        <f t="shared" ref="Q68" si="268">11.75+6+151.25</f>
        <v>169</v>
      </c>
      <c r="R68" s="353">
        <f t="shared" si="249"/>
        <v>169</v>
      </c>
      <c r="S68" s="357">
        <f t="shared" si="176"/>
        <v>0</v>
      </c>
      <c r="T68" s="187"/>
    </row>
    <row r="69" spans="1:20" x14ac:dyDescent="0.2">
      <c r="A69" s="187" t="s">
        <v>393</v>
      </c>
      <c r="B69" s="353">
        <f>6.25+3.5+62.5</f>
        <v>72.25</v>
      </c>
      <c r="C69" s="353">
        <f t="shared" si="162"/>
        <v>72.25</v>
      </c>
      <c r="D69" s="353">
        <f t="shared" si="163"/>
        <v>0</v>
      </c>
      <c r="E69" s="353">
        <f t="shared" ref="E69" si="269">6.25+3.5+62.5</f>
        <v>72.25</v>
      </c>
      <c r="F69" s="353">
        <f t="shared" si="249"/>
        <v>72.25</v>
      </c>
      <c r="G69" s="353">
        <f t="shared" si="153"/>
        <v>0</v>
      </c>
      <c r="H69" s="353">
        <f t="shared" ref="H69" si="270">6.25+3.5+62.5</f>
        <v>72.25</v>
      </c>
      <c r="I69" s="353">
        <f t="shared" si="249"/>
        <v>72.25</v>
      </c>
      <c r="J69" s="353">
        <f t="shared" si="165"/>
        <v>0</v>
      </c>
      <c r="K69" s="353">
        <f t="shared" ref="K69" si="271">6.25+3.5+62.5</f>
        <v>72.25</v>
      </c>
      <c r="L69" s="353">
        <f t="shared" si="249"/>
        <v>72.25</v>
      </c>
      <c r="M69" s="353">
        <f t="shared" si="167"/>
        <v>0</v>
      </c>
      <c r="N69" s="353">
        <f t="shared" ref="N69" si="272">6.25+3.5+62.5</f>
        <v>72.25</v>
      </c>
      <c r="O69" s="353">
        <f t="shared" si="249"/>
        <v>72.25</v>
      </c>
      <c r="P69" s="353">
        <f t="shared" si="169"/>
        <v>0</v>
      </c>
      <c r="Q69" s="353">
        <f t="shared" ref="Q69" si="273">6.25+3.5+62.5</f>
        <v>72.25</v>
      </c>
      <c r="R69" s="353">
        <f t="shared" si="249"/>
        <v>72.25</v>
      </c>
      <c r="S69" s="357">
        <f t="shared" si="176"/>
        <v>0</v>
      </c>
      <c r="T69" s="187"/>
    </row>
    <row r="70" spans="1:20" x14ac:dyDescent="0.2">
      <c r="A70" s="187" t="s">
        <v>393</v>
      </c>
      <c r="B70" s="353">
        <f>10.25+3</f>
        <v>13.25</v>
      </c>
      <c r="C70" s="353">
        <f t="shared" si="162"/>
        <v>13.25</v>
      </c>
      <c r="D70" s="353">
        <f t="shared" si="163"/>
        <v>0</v>
      </c>
      <c r="E70" s="353">
        <f t="shared" ref="E70" si="274">10.25+3</f>
        <v>13.25</v>
      </c>
      <c r="F70" s="353">
        <f t="shared" si="249"/>
        <v>13.25</v>
      </c>
      <c r="G70" s="353">
        <f t="shared" si="153"/>
        <v>0</v>
      </c>
      <c r="H70" s="353">
        <f t="shared" ref="H70" si="275">10.25+3</f>
        <v>13.25</v>
      </c>
      <c r="I70" s="353">
        <f t="shared" si="249"/>
        <v>13.25</v>
      </c>
      <c r="J70" s="353">
        <f t="shared" si="165"/>
        <v>0</v>
      </c>
      <c r="K70" s="353">
        <f t="shared" ref="K70" si="276">10.25+3</f>
        <v>13.25</v>
      </c>
      <c r="L70" s="353">
        <f t="shared" si="249"/>
        <v>13.25</v>
      </c>
      <c r="M70" s="353">
        <f t="shared" si="167"/>
        <v>0</v>
      </c>
      <c r="N70" s="353">
        <f t="shared" ref="N70" si="277">10.25+3</f>
        <v>13.25</v>
      </c>
      <c r="O70" s="353">
        <f t="shared" si="249"/>
        <v>13.25</v>
      </c>
      <c r="P70" s="353">
        <f t="shared" si="169"/>
        <v>0</v>
      </c>
      <c r="Q70" s="353">
        <f t="shared" ref="Q70" si="278">10.25+3</f>
        <v>13.25</v>
      </c>
      <c r="R70" s="353">
        <f t="shared" si="249"/>
        <v>13.25</v>
      </c>
      <c r="S70" s="357">
        <f t="shared" si="176"/>
        <v>0</v>
      </c>
      <c r="T70" s="187"/>
    </row>
    <row r="71" spans="1:20" x14ac:dyDescent="0.2">
      <c r="A71" s="187" t="s">
        <v>393</v>
      </c>
      <c r="B71" s="353">
        <f>9+32.5+33</f>
        <v>74.5</v>
      </c>
      <c r="C71" s="353">
        <f t="shared" si="162"/>
        <v>74.5</v>
      </c>
      <c r="D71" s="353">
        <f t="shared" si="163"/>
        <v>0</v>
      </c>
      <c r="E71" s="353">
        <f t="shared" ref="E71" si="279">9+32.5+33</f>
        <v>74.5</v>
      </c>
      <c r="F71" s="353">
        <f t="shared" si="249"/>
        <v>74.5</v>
      </c>
      <c r="G71" s="353">
        <f t="shared" si="153"/>
        <v>0</v>
      </c>
      <c r="H71" s="353">
        <f t="shared" ref="H71" si="280">9+32.5+33</f>
        <v>74.5</v>
      </c>
      <c r="I71" s="353">
        <f t="shared" si="249"/>
        <v>74.5</v>
      </c>
      <c r="J71" s="353">
        <f t="shared" si="165"/>
        <v>0</v>
      </c>
      <c r="K71" s="353">
        <f t="shared" ref="K71" si="281">9+32.5+33</f>
        <v>74.5</v>
      </c>
      <c r="L71" s="353">
        <f t="shared" si="249"/>
        <v>74.5</v>
      </c>
      <c r="M71" s="353">
        <f t="shared" si="167"/>
        <v>0</v>
      </c>
      <c r="N71" s="353">
        <f t="shared" ref="N71" si="282">9+32.5+33</f>
        <v>74.5</v>
      </c>
      <c r="O71" s="353">
        <f t="shared" si="249"/>
        <v>74.5</v>
      </c>
      <c r="P71" s="353">
        <f t="shared" si="169"/>
        <v>0</v>
      </c>
      <c r="Q71" s="353">
        <f t="shared" ref="Q71" si="283">9+32.5+33</f>
        <v>74.5</v>
      </c>
      <c r="R71" s="353">
        <f t="shared" si="249"/>
        <v>74.5</v>
      </c>
      <c r="S71" s="357">
        <f t="shared" si="176"/>
        <v>0</v>
      </c>
      <c r="T71" s="187"/>
    </row>
    <row r="72" spans="1:20" x14ac:dyDescent="0.2">
      <c r="A72" s="187" t="s">
        <v>393</v>
      </c>
      <c r="B72" s="232">
        <f>12+9</f>
        <v>21</v>
      </c>
      <c r="C72" s="353">
        <f t="shared" si="162"/>
        <v>21</v>
      </c>
      <c r="D72" s="353">
        <f t="shared" si="163"/>
        <v>0</v>
      </c>
      <c r="E72" s="353">
        <f t="shared" ref="E72" si="284">12+9</f>
        <v>21</v>
      </c>
      <c r="F72" s="353">
        <f t="shared" si="249"/>
        <v>21</v>
      </c>
      <c r="G72" s="353">
        <f t="shared" si="153"/>
        <v>0</v>
      </c>
      <c r="H72" s="353">
        <f t="shared" ref="H72" si="285">12+9</f>
        <v>21</v>
      </c>
      <c r="I72" s="353">
        <f t="shared" si="249"/>
        <v>21</v>
      </c>
      <c r="J72" s="353">
        <f t="shared" si="165"/>
        <v>0</v>
      </c>
      <c r="K72" s="353">
        <f t="shared" ref="K72" si="286">12+9</f>
        <v>21</v>
      </c>
      <c r="L72" s="353">
        <f t="shared" si="249"/>
        <v>21</v>
      </c>
      <c r="M72" s="353">
        <f t="shared" si="167"/>
        <v>0</v>
      </c>
      <c r="N72" s="353">
        <f t="shared" ref="N72" si="287">12+9</f>
        <v>21</v>
      </c>
      <c r="O72" s="353">
        <f t="shared" si="249"/>
        <v>21</v>
      </c>
      <c r="P72" s="353">
        <f t="shared" si="169"/>
        <v>0</v>
      </c>
      <c r="Q72" s="353">
        <f t="shared" ref="Q72" si="288">12+9</f>
        <v>21</v>
      </c>
      <c r="R72" s="353">
        <f t="shared" si="249"/>
        <v>21</v>
      </c>
      <c r="S72" s="357">
        <f t="shared" si="176"/>
        <v>0</v>
      </c>
      <c r="T72" s="3"/>
    </row>
    <row r="73" spans="1:20" x14ac:dyDescent="0.2">
      <c r="A73" s="187" t="s">
        <v>393</v>
      </c>
      <c r="B73" s="286">
        <f>16+16+233.75</f>
        <v>265.75</v>
      </c>
      <c r="C73" s="353">
        <f t="shared" si="162"/>
        <v>265.75</v>
      </c>
      <c r="D73" s="353">
        <f t="shared" si="163"/>
        <v>0</v>
      </c>
      <c r="E73" s="353">
        <f t="shared" ref="E73" si="289">16+16+233.75</f>
        <v>265.75</v>
      </c>
      <c r="F73" s="353">
        <f t="shared" si="249"/>
        <v>265.75</v>
      </c>
      <c r="G73" s="353">
        <f t="shared" si="153"/>
        <v>0</v>
      </c>
      <c r="H73" s="353">
        <f t="shared" ref="H73" si="290">16+16+233.75</f>
        <v>265.75</v>
      </c>
      <c r="I73" s="353">
        <f t="shared" si="249"/>
        <v>265.75</v>
      </c>
      <c r="J73" s="353">
        <f t="shared" si="165"/>
        <v>0</v>
      </c>
      <c r="K73" s="353">
        <f t="shared" ref="K73" si="291">16+16+233.75</f>
        <v>265.75</v>
      </c>
      <c r="L73" s="353">
        <f t="shared" si="249"/>
        <v>265.75</v>
      </c>
      <c r="M73" s="353">
        <f t="shared" si="167"/>
        <v>0</v>
      </c>
      <c r="N73" s="353">
        <f t="shared" ref="N73" si="292">16+16+233.75</f>
        <v>265.75</v>
      </c>
      <c r="O73" s="353">
        <f t="shared" si="249"/>
        <v>265.75</v>
      </c>
      <c r="P73" s="353">
        <f t="shared" si="169"/>
        <v>0</v>
      </c>
      <c r="Q73" s="353">
        <f t="shared" ref="Q73" si="293">16+16+233.75</f>
        <v>265.75</v>
      </c>
      <c r="R73" s="353">
        <f t="shared" si="249"/>
        <v>265.75</v>
      </c>
      <c r="S73" s="357">
        <f t="shared" si="176"/>
        <v>0</v>
      </c>
      <c r="T73" s="187"/>
    </row>
    <row r="74" spans="1:20" x14ac:dyDescent="0.2">
      <c r="A74" s="187" t="s">
        <v>393</v>
      </c>
      <c r="B74" s="286">
        <f>7.5+150</f>
        <v>157.5</v>
      </c>
      <c r="C74" s="353">
        <f t="shared" si="162"/>
        <v>157.5</v>
      </c>
      <c r="D74" s="353">
        <f t="shared" si="163"/>
        <v>0</v>
      </c>
      <c r="E74" s="353">
        <f t="shared" ref="E74" si="294">7.5+150</f>
        <v>157.5</v>
      </c>
      <c r="F74" s="353">
        <f t="shared" si="249"/>
        <v>157.5</v>
      </c>
      <c r="G74" s="353">
        <f t="shared" si="153"/>
        <v>0</v>
      </c>
      <c r="H74" s="353">
        <f t="shared" ref="H74" si="295">7.5+150</f>
        <v>157.5</v>
      </c>
      <c r="I74" s="353">
        <f t="shared" si="249"/>
        <v>157.5</v>
      </c>
      <c r="J74" s="353">
        <f t="shared" si="165"/>
        <v>0</v>
      </c>
      <c r="K74" s="353">
        <f t="shared" ref="K74" si="296">7.5+150</f>
        <v>157.5</v>
      </c>
      <c r="L74" s="353">
        <f t="shared" si="249"/>
        <v>157.5</v>
      </c>
      <c r="M74" s="353">
        <f t="shared" si="167"/>
        <v>0</v>
      </c>
      <c r="N74" s="353">
        <f t="shared" ref="N74" si="297">7.5+150</f>
        <v>157.5</v>
      </c>
      <c r="O74" s="353">
        <f t="shared" si="249"/>
        <v>157.5</v>
      </c>
      <c r="P74" s="353">
        <f t="shared" si="169"/>
        <v>0</v>
      </c>
      <c r="Q74" s="353">
        <f t="shared" ref="Q74" si="298">7.5+150</f>
        <v>157.5</v>
      </c>
      <c r="R74" s="353">
        <f t="shared" si="249"/>
        <v>157.5</v>
      </c>
      <c r="S74" s="357">
        <f t="shared" si="176"/>
        <v>0</v>
      </c>
      <c r="T74" s="187"/>
    </row>
    <row r="75" spans="1:20" x14ac:dyDescent="0.2">
      <c r="A75" s="187" t="s">
        <v>393</v>
      </c>
      <c r="B75" s="286">
        <f>1.5+6+4.5+165</f>
        <v>177</v>
      </c>
      <c r="C75" s="353">
        <f t="shared" si="162"/>
        <v>177</v>
      </c>
      <c r="D75" s="353">
        <f t="shared" si="163"/>
        <v>0</v>
      </c>
      <c r="E75" s="353">
        <f t="shared" ref="E75" si="299">1.5+6+4.5+165</f>
        <v>177</v>
      </c>
      <c r="F75" s="353">
        <f t="shared" si="249"/>
        <v>177</v>
      </c>
      <c r="G75" s="353">
        <f t="shared" si="153"/>
        <v>0</v>
      </c>
      <c r="H75" s="353">
        <f t="shared" ref="H75" si="300">1.5+6+4.5+165</f>
        <v>177</v>
      </c>
      <c r="I75" s="353">
        <f t="shared" si="249"/>
        <v>177</v>
      </c>
      <c r="J75" s="353">
        <f t="shared" si="165"/>
        <v>0</v>
      </c>
      <c r="K75" s="353">
        <f t="shared" ref="K75" si="301">1.5+6+4.5+165</f>
        <v>177</v>
      </c>
      <c r="L75" s="353">
        <f t="shared" si="249"/>
        <v>177</v>
      </c>
      <c r="M75" s="353">
        <f t="shared" si="167"/>
        <v>0</v>
      </c>
      <c r="N75" s="353">
        <f t="shared" ref="N75" si="302">1.5+6+4.5+165</f>
        <v>177</v>
      </c>
      <c r="O75" s="353">
        <f t="shared" si="249"/>
        <v>177</v>
      </c>
      <c r="P75" s="353">
        <f t="shared" si="169"/>
        <v>0</v>
      </c>
      <c r="Q75" s="353">
        <f t="shared" ref="Q75" si="303">1.5+6+4.5+165</f>
        <v>177</v>
      </c>
      <c r="R75" s="353">
        <f t="shared" si="249"/>
        <v>177</v>
      </c>
      <c r="S75" s="357">
        <f t="shared" si="176"/>
        <v>0</v>
      </c>
      <c r="T75" s="187"/>
    </row>
    <row r="76" spans="1:20" x14ac:dyDescent="0.2">
      <c r="A76" s="187" t="s">
        <v>393</v>
      </c>
      <c r="B76" s="286">
        <f>27+12+325</f>
        <v>364</v>
      </c>
      <c r="C76" s="353">
        <f t="shared" si="162"/>
        <v>364</v>
      </c>
      <c r="D76" s="353">
        <f t="shared" si="163"/>
        <v>0</v>
      </c>
      <c r="E76" s="353">
        <f t="shared" ref="E76" si="304">27+12+325</f>
        <v>364</v>
      </c>
      <c r="F76" s="353">
        <f t="shared" si="249"/>
        <v>364</v>
      </c>
      <c r="G76" s="353">
        <f t="shared" si="153"/>
        <v>0</v>
      </c>
      <c r="H76" s="353">
        <f t="shared" ref="H76" si="305">27+12+325</f>
        <v>364</v>
      </c>
      <c r="I76" s="353">
        <f t="shared" si="249"/>
        <v>364</v>
      </c>
      <c r="J76" s="353">
        <f t="shared" si="165"/>
        <v>0</v>
      </c>
      <c r="K76" s="353">
        <f t="shared" ref="K76" si="306">27+12+325</f>
        <v>364</v>
      </c>
      <c r="L76" s="353">
        <f t="shared" si="249"/>
        <v>364</v>
      </c>
      <c r="M76" s="353">
        <f t="shared" si="167"/>
        <v>0</v>
      </c>
      <c r="N76" s="353">
        <f t="shared" ref="N76" si="307">27+12+325</f>
        <v>364</v>
      </c>
      <c r="O76" s="353">
        <f t="shared" si="249"/>
        <v>364</v>
      </c>
      <c r="P76" s="353">
        <f t="shared" si="169"/>
        <v>0</v>
      </c>
      <c r="Q76" s="353">
        <f t="shared" ref="Q76" si="308">27+12+325</f>
        <v>364</v>
      </c>
      <c r="R76" s="353">
        <f t="shared" si="249"/>
        <v>364</v>
      </c>
      <c r="S76" s="357">
        <f t="shared" si="176"/>
        <v>0</v>
      </c>
      <c r="T76" s="187"/>
    </row>
    <row r="77" spans="1:20" x14ac:dyDescent="0.2">
      <c r="A77" s="187" t="s">
        <v>393</v>
      </c>
      <c r="B77" s="232">
        <f>22+27.5+162.5</f>
        <v>212</v>
      </c>
      <c r="C77" s="353">
        <f t="shared" si="162"/>
        <v>212</v>
      </c>
      <c r="D77" s="353">
        <f t="shared" si="163"/>
        <v>0</v>
      </c>
      <c r="E77" s="353">
        <f t="shared" ref="E77" si="309">22+27.5+162.5</f>
        <v>212</v>
      </c>
      <c r="F77" s="353">
        <f t="shared" si="249"/>
        <v>212</v>
      </c>
      <c r="G77" s="353">
        <f t="shared" si="153"/>
        <v>0</v>
      </c>
      <c r="H77" s="353">
        <f t="shared" ref="H77" si="310">22+27.5+162.5</f>
        <v>212</v>
      </c>
      <c r="I77" s="353">
        <f t="shared" si="249"/>
        <v>212</v>
      </c>
      <c r="J77" s="353">
        <f t="shared" si="165"/>
        <v>0</v>
      </c>
      <c r="K77" s="353">
        <f t="shared" ref="K77" si="311">22+27.5+162.5</f>
        <v>212</v>
      </c>
      <c r="L77" s="353">
        <f t="shared" si="249"/>
        <v>212</v>
      </c>
      <c r="M77" s="353">
        <f t="shared" si="167"/>
        <v>0</v>
      </c>
      <c r="N77" s="353">
        <f t="shared" ref="N77" si="312">22+27.5+162.5</f>
        <v>212</v>
      </c>
      <c r="O77" s="353">
        <f t="shared" si="249"/>
        <v>212</v>
      </c>
      <c r="P77" s="353">
        <f t="shared" si="169"/>
        <v>0</v>
      </c>
      <c r="Q77" s="353">
        <f t="shared" ref="Q77" si="313">22+27.5+162.5</f>
        <v>212</v>
      </c>
      <c r="R77" s="353">
        <f t="shared" si="249"/>
        <v>212</v>
      </c>
      <c r="S77" s="357">
        <f t="shared" si="176"/>
        <v>0</v>
      </c>
      <c r="T77" s="187"/>
    </row>
    <row r="78" spans="1:20" x14ac:dyDescent="0.2">
      <c r="A78" s="187" t="s">
        <v>393</v>
      </c>
      <c r="B78" s="286">
        <f>13.25+12.5+210</f>
        <v>235.75</v>
      </c>
      <c r="C78" s="353">
        <f t="shared" si="162"/>
        <v>235.75</v>
      </c>
      <c r="D78" s="353">
        <f t="shared" si="163"/>
        <v>0</v>
      </c>
      <c r="E78" s="353">
        <f t="shared" ref="E78" si="314">13.25+12.5+210</f>
        <v>235.75</v>
      </c>
      <c r="F78" s="353">
        <f t="shared" si="249"/>
        <v>235.75</v>
      </c>
      <c r="G78" s="353">
        <f t="shared" si="153"/>
        <v>0</v>
      </c>
      <c r="H78" s="353">
        <f t="shared" ref="H78" si="315">13.25+12.5+210</f>
        <v>235.75</v>
      </c>
      <c r="I78" s="353">
        <f t="shared" si="249"/>
        <v>235.75</v>
      </c>
      <c r="J78" s="353">
        <f t="shared" si="165"/>
        <v>0</v>
      </c>
      <c r="K78" s="353">
        <f t="shared" ref="K78" si="316">13.25+12.5+210</f>
        <v>235.75</v>
      </c>
      <c r="L78" s="353">
        <f t="shared" si="249"/>
        <v>235.75</v>
      </c>
      <c r="M78" s="353">
        <f t="shared" si="167"/>
        <v>0</v>
      </c>
      <c r="N78" s="353">
        <f t="shared" ref="N78" si="317">13.25+12.5+210</f>
        <v>235.75</v>
      </c>
      <c r="O78" s="353">
        <f t="shared" si="249"/>
        <v>235.75</v>
      </c>
      <c r="P78" s="353">
        <f t="shared" si="169"/>
        <v>0</v>
      </c>
      <c r="Q78" s="353">
        <f t="shared" ref="Q78" si="318">13.25+12.5+210</f>
        <v>235.75</v>
      </c>
      <c r="R78" s="353">
        <f t="shared" si="249"/>
        <v>235.75</v>
      </c>
      <c r="S78" s="357">
        <f t="shared" si="176"/>
        <v>0</v>
      </c>
      <c r="T78" s="187"/>
    </row>
    <row r="79" spans="1:20" x14ac:dyDescent="0.2">
      <c r="A79" s="187" t="s">
        <v>393</v>
      </c>
      <c r="B79" s="286">
        <f>5+4</f>
        <v>9</v>
      </c>
      <c r="C79" s="353">
        <f t="shared" si="162"/>
        <v>9</v>
      </c>
      <c r="D79" s="353">
        <f t="shared" si="163"/>
        <v>0</v>
      </c>
      <c r="E79" s="353">
        <v>0</v>
      </c>
      <c r="F79" s="353">
        <f t="shared" si="249"/>
        <v>0</v>
      </c>
      <c r="G79" s="353">
        <f t="shared" si="153"/>
        <v>0</v>
      </c>
      <c r="H79" s="357">
        <v>0</v>
      </c>
      <c r="I79" s="357">
        <f t="shared" ref="I79" si="319">H79</f>
        <v>0</v>
      </c>
      <c r="J79" s="357">
        <f t="shared" si="165"/>
        <v>0</v>
      </c>
      <c r="K79" s="357">
        <v>0</v>
      </c>
      <c r="L79" s="357">
        <f t="shared" ref="L79" si="320">K79</f>
        <v>0</v>
      </c>
      <c r="M79" s="357">
        <f t="shared" si="167"/>
        <v>0</v>
      </c>
      <c r="N79" s="357">
        <v>0</v>
      </c>
      <c r="O79" s="357">
        <f t="shared" ref="O79" si="321">N79</f>
        <v>0</v>
      </c>
      <c r="P79" s="357">
        <f t="shared" si="169"/>
        <v>0</v>
      </c>
      <c r="Q79" s="357">
        <v>0</v>
      </c>
      <c r="R79" s="357">
        <f t="shared" ref="R79" si="322">Q79</f>
        <v>0</v>
      </c>
      <c r="S79" s="357">
        <f t="shared" si="176"/>
        <v>0</v>
      </c>
      <c r="T79" s="187"/>
    </row>
    <row r="80" spans="1:20" x14ac:dyDescent="0.2">
      <c r="A80" s="188" t="s">
        <v>34</v>
      </c>
      <c r="B80" s="189">
        <f t="shared" ref="B80:S80" si="323">SUM(B49:B79)</f>
        <v>3937.69</v>
      </c>
      <c r="C80" s="352">
        <f t="shared" si="323"/>
        <v>3937.69</v>
      </c>
      <c r="D80" s="352">
        <f t="shared" si="323"/>
        <v>0</v>
      </c>
      <c r="E80" s="352">
        <v>3578.63</v>
      </c>
      <c r="F80" s="352">
        <f>E80</f>
        <v>3578.63</v>
      </c>
      <c r="G80" s="352">
        <f>E80-F80</f>
        <v>0</v>
      </c>
      <c r="H80" s="352">
        <v>7434.5</v>
      </c>
      <c r="I80" s="352">
        <f>H80</f>
        <v>7434.5</v>
      </c>
      <c r="J80" s="352">
        <f t="shared" si="323"/>
        <v>0</v>
      </c>
      <c r="K80" s="352">
        <v>5775.63</v>
      </c>
      <c r="L80" s="352">
        <v>5775.63</v>
      </c>
      <c r="M80" s="352">
        <f t="shared" si="323"/>
        <v>0</v>
      </c>
      <c r="N80" s="359">
        <f t="shared" ref="N80:O80" si="324">K80</f>
        <v>5775.63</v>
      </c>
      <c r="O80" s="359">
        <f t="shared" si="324"/>
        <v>5775.63</v>
      </c>
      <c r="P80" s="359">
        <f t="shared" si="323"/>
        <v>0</v>
      </c>
      <c r="Q80" s="359">
        <f t="shared" ref="Q80:R80" si="325">N80</f>
        <v>5775.63</v>
      </c>
      <c r="R80" s="359">
        <f t="shared" si="325"/>
        <v>5775.63</v>
      </c>
      <c r="S80" s="359">
        <f t="shared" si="323"/>
        <v>0</v>
      </c>
    </row>
    <row r="84" spans="2:2" x14ac:dyDescent="0.2">
      <c r="B84" s="190"/>
    </row>
  </sheetData>
  <sortState ref="A3:S59">
    <sortCondition ref="A3:A59"/>
  </sortState>
  <mergeCells count="12">
    <mergeCell ref="Q1:S1"/>
    <mergeCell ref="B47:D47"/>
    <mergeCell ref="E47:G47"/>
    <mergeCell ref="H47:J47"/>
    <mergeCell ref="K47:M47"/>
    <mergeCell ref="N47:P47"/>
    <mergeCell ref="Q47:S47"/>
    <mergeCell ref="B1:D1"/>
    <mergeCell ref="E1:G1"/>
    <mergeCell ref="H1:J1"/>
    <mergeCell ref="K1:M1"/>
    <mergeCell ref="N1:P1"/>
  </mergeCells>
  <printOptions horizontalCentered="1" gridLines="1"/>
  <pageMargins left="0" right="0" top="0.75" bottom="0" header="0.3" footer="0.3"/>
  <pageSetup scale="80" orientation="landscape" r:id="rId1"/>
  <headerFooter>
    <oddHeader>&amp;LElectrical Engineering Department&amp;C Budget and Expenditure Projection 2016-17
&amp;R&amp;A</oddHeader>
    <oddFooter>&amp;R&amp;8&amp;D</oddFooter>
  </headerFooter>
  <rowBreaks count="1" manualBreakCount="1">
    <brk id="4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8" tint="0.59999389629810485"/>
  </sheetPr>
  <dimension ref="A1:S26"/>
  <sheetViews>
    <sheetView tabSelected="1" workbookViewId="0">
      <selection activeCell="G34" sqref="G34"/>
    </sheetView>
  </sheetViews>
  <sheetFormatPr defaultRowHeight="12.75" x14ac:dyDescent="0.2"/>
  <cols>
    <col min="1" max="1" width="12.28515625" style="7" customWidth="1"/>
    <col min="2" max="3" width="9.28515625" bestFit="1" customWidth="1"/>
    <col min="4" max="4" width="6.85546875" bestFit="1" customWidth="1"/>
    <col min="5" max="6" width="9.28515625" bestFit="1" customWidth="1"/>
    <col min="7" max="7" width="7.7109375" bestFit="1" customWidth="1"/>
    <col min="8" max="9" width="10.28515625" style="58" bestFit="1" customWidth="1"/>
    <col min="10" max="10" width="7.7109375" style="58" bestFit="1" customWidth="1"/>
    <col min="11" max="12" width="9.28515625" bestFit="1" customWidth="1"/>
    <col min="13" max="13" width="7.7109375" bestFit="1" customWidth="1"/>
    <col min="14" max="15" width="9.7109375" bestFit="1" customWidth="1"/>
    <col min="16" max="16" width="7.7109375" bestFit="1" customWidth="1"/>
    <col min="17" max="18" width="9.7109375" bestFit="1" customWidth="1"/>
    <col min="19" max="19" width="6.85546875" bestFit="1" customWidth="1"/>
  </cols>
  <sheetData>
    <row r="1" spans="1:19" s="25" customFormat="1" x14ac:dyDescent="0.2">
      <c r="A1" s="337"/>
      <c r="B1" s="392" t="s">
        <v>6</v>
      </c>
      <c r="C1" s="392"/>
      <c r="D1" s="392"/>
      <c r="E1" s="392" t="s">
        <v>125</v>
      </c>
      <c r="F1" s="392"/>
      <c r="G1" s="392"/>
      <c r="H1" s="405" t="s">
        <v>126</v>
      </c>
      <c r="I1" s="405"/>
      <c r="J1" s="405"/>
      <c r="K1" s="392" t="s">
        <v>127</v>
      </c>
      <c r="L1" s="392"/>
      <c r="M1" s="392"/>
      <c r="N1" s="392" t="s">
        <v>128</v>
      </c>
      <c r="O1" s="392"/>
      <c r="P1" s="392"/>
      <c r="Q1" s="405" t="s">
        <v>129</v>
      </c>
      <c r="R1" s="405"/>
      <c r="S1" s="405"/>
    </row>
    <row r="2" spans="1:19" x14ac:dyDescent="0.2">
      <c r="A2" s="55"/>
      <c r="B2" s="325" t="s">
        <v>33</v>
      </c>
      <c r="C2" s="325" t="s">
        <v>31</v>
      </c>
      <c r="D2" s="325" t="s">
        <v>32</v>
      </c>
      <c r="E2" s="325" t="s">
        <v>34</v>
      </c>
      <c r="F2" s="325" t="s">
        <v>31</v>
      </c>
      <c r="G2" s="325" t="s">
        <v>32</v>
      </c>
      <c r="H2" s="199" t="s">
        <v>34</v>
      </c>
      <c r="I2" s="199" t="s">
        <v>31</v>
      </c>
      <c r="J2" s="338" t="s">
        <v>32</v>
      </c>
      <c r="K2" s="326" t="s">
        <v>34</v>
      </c>
      <c r="L2" s="326" t="s">
        <v>31</v>
      </c>
      <c r="M2" s="326" t="s">
        <v>32</v>
      </c>
      <c r="N2" s="326" t="s">
        <v>34</v>
      </c>
      <c r="O2" s="326" t="s">
        <v>31</v>
      </c>
      <c r="P2" s="326" t="s">
        <v>32</v>
      </c>
      <c r="Q2" s="325" t="s">
        <v>34</v>
      </c>
      <c r="R2" s="325" t="s">
        <v>31</v>
      </c>
      <c r="S2" s="325" t="s">
        <v>32</v>
      </c>
    </row>
    <row r="3" spans="1:19" x14ac:dyDescent="0.2">
      <c r="A3" s="55" t="s">
        <v>367</v>
      </c>
      <c r="B3" s="325">
        <v>176</v>
      </c>
      <c r="C3" s="325">
        <f>B3</f>
        <v>176</v>
      </c>
      <c r="D3" s="325">
        <f>B3-C3</f>
        <v>0</v>
      </c>
      <c r="E3" s="325">
        <v>0</v>
      </c>
      <c r="F3" s="325">
        <f>E3</f>
        <v>0</v>
      </c>
      <c r="G3" s="325">
        <f>E3-F3</f>
        <v>0</v>
      </c>
      <c r="H3" s="325">
        <v>0</v>
      </c>
      <c r="I3" s="325">
        <f>H3</f>
        <v>0</v>
      </c>
      <c r="J3" s="325">
        <f t="shared" ref="J3" si="0">H3-I3</f>
        <v>0</v>
      </c>
      <c r="K3" s="325">
        <v>0</v>
      </c>
      <c r="L3" s="325">
        <f t="shared" ref="L3:R8" si="1">K3</f>
        <v>0</v>
      </c>
      <c r="M3" s="325">
        <f t="shared" ref="M3:M8" si="2">K3-L3</f>
        <v>0</v>
      </c>
      <c r="N3" s="325">
        <v>0</v>
      </c>
      <c r="O3" s="325">
        <f t="shared" ref="O3" si="3">N3</f>
        <v>0</v>
      </c>
      <c r="P3" s="325">
        <f t="shared" ref="P3:P8" si="4">N3-O3</f>
        <v>0</v>
      </c>
      <c r="Q3" s="325">
        <v>0</v>
      </c>
      <c r="R3" s="325">
        <f t="shared" ref="R3" si="5">Q3</f>
        <v>0</v>
      </c>
      <c r="S3" s="325">
        <f t="shared" ref="S3:S8" si="6">Q3-R3</f>
        <v>0</v>
      </c>
    </row>
    <row r="4" spans="1:19" x14ac:dyDescent="0.2">
      <c r="A4" s="55" t="s">
        <v>368</v>
      </c>
      <c r="B4" s="325">
        <v>122.75</v>
      </c>
      <c r="C4" s="325">
        <v>121</v>
      </c>
      <c r="D4" s="325">
        <f t="shared" ref="D4:D8" si="7">B4-C4</f>
        <v>1.75</v>
      </c>
      <c r="E4" s="325">
        <v>0</v>
      </c>
      <c r="F4" s="325">
        <f t="shared" ref="F4:F8" si="8">E4</f>
        <v>0</v>
      </c>
      <c r="G4" s="325">
        <f t="shared" ref="G4:G8" si="9">E4-F4</f>
        <v>0</v>
      </c>
      <c r="H4" s="325">
        <v>0</v>
      </c>
      <c r="I4" s="325">
        <f t="shared" ref="I4:I8" si="10">H4</f>
        <v>0</v>
      </c>
      <c r="J4" s="325">
        <f t="shared" ref="J4:J8" si="11">H4-I4</f>
        <v>0</v>
      </c>
      <c r="K4" s="325">
        <v>0</v>
      </c>
      <c r="L4" s="325">
        <f t="shared" si="1"/>
        <v>0</v>
      </c>
      <c r="M4" s="325">
        <f t="shared" si="2"/>
        <v>0</v>
      </c>
      <c r="N4" s="325">
        <v>0</v>
      </c>
      <c r="O4" s="325">
        <f t="shared" si="1"/>
        <v>0</v>
      </c>
      <c r="P4" s="325">
        <f t="shared" si="4"/>
        <v>0</v>
      </c>
      <c r="Q4" s="325">
        <v>0</v>
      </c>
      <c r="R4" s="325">
        <f t="shared" si="1"/>
        <v>0</v>
      </c>
      <c r="S4" s="325">
        <f t="shared" si="6"/>
        <v>0</v>
      </c>
    </row>
    <row r="5" spans="1:19" x14ac:dyDescent="0.2">
      <c r="A5" s="55" t="s">
        <v>369</v>
      </c>
      <c r="B5" s="325">
        <v>0</v>
      </c>
      <c r="C5" s="325">
        <f>B5</f>
        <v>0</v>
      </c>
      <c r="D5" s="325">
        <f>B5-C5</f>
        <v>0</v>
      </c>
      <c r="E5" s="325">
        <v>0</v>
      </c>
      <c r="F5" s="325">
        <f>E5</f>
        <v>0</v>
      </c>
      <c r="G5" s="325">
        <f>E5-F5</f>
        <v>0</v>
      </c>
      <c r="H5" s="325">
        <v>0</v>
      </c>
      <c r="I5" s="325">
        <f t="shared" ref="I5" si="12">H5</f>
        <v>0</v>
      </c>
      <c r="J5" s="325">
        <f t="shared" ref="J5" si="13">H5-I5</f>
        <v>0</v>
      </c>
      <c r="K5" s="325">
        <v>176</v>
      </c>
      <c r="L5" s="325">
        <f t="shared" ref="L5" si="14">K5</f>
        <v>176</v>
      </c>
      <c r="M5" s="325">
        <f t="shared" ref="M5" si="15">K5-L5</f>
        <v>0</v>
      </c>
      <c r="N5" s="325">
        <v>594</v>
      </c>
      <c r="O5" s="325">
        <f t="shared" ref="O5" si="16">N5</f>
        <v>594</v>
      </c>
      <c r="P5" s="325">
        <f t="shared" ref="P5" si="17">N5-O5</f>
        <v>0</v>
      </c>
      <c r="Q5" s="325">
        <v>451</v>
      </c>
      <c r="R5" s="325">
        <f t="shared" ref="R5" si="18">Q5</f>
        <v>451</v>
      </c>
      <c r="S5" s="325">
        <f t="shared" ref="S5" si="19">Q5-R5</f>
        <v>0</v>
      </c>
    </row>
    <row r="6" spans="1:19" x14ac:dyDescent="0.2">
      <c r="A6" s="55" t="s">
        <v>370</v>
      </c>
      <c r="B6" s="325">
        <v>1543.3</v>
      </c>
      <c r="C6" s="325">
        <f t="shared" ref="C6" si="20">B6</f>
        <v>1543.3</v>
      </c>
      <c r="D6" s="325">
        <f t="shared" si="7"/>
        <v>0</v>
      </c>
      <c r="E6" s="325">
        <v>1651.61</v>
      </c>
      <c r="F6" s="325">
        <v>1628</v>
      </c>
      <c r="G6" s="325">
        <f t="shared" si="9"/>
        <v>23.6099999999999</v>
      </c>
      <c r="H6" s="325">
        <v>1859.17</v>
      </c>
      <c r="I6" s="325">
        <v>1832.6</v>
      </c>
      <c r="J6" s="325">
        <f t="shared" si="11"/>
        <v>26.570000000000164</v>
      </c>
      <c r="K6" s="325">
        <v>1347.5</v>
      </c>
      <c r="L6" s="325">
        <f t="shared" si="1"/>
        <v>1347.5</v>
      </c>
      <c r="M6" s="325">
        <f t="shared" si="2"/>
        <v>0</v>
      </c>
      <c r="N6" s="325">
        <v>638</v>
      </c>
      <c r="O6" s="325">
        <f t="shared" si="1"/>
        <v>638</v>
      </c>
      <c r="P6" s="325">
        <f t="shared" si="4"/>
        <v>0</v>
      </c>
      <c r="Q6" s="325">
        <v>517</v>
      </c>
      <c r="R6" s="325">
        <f t="shared" si="1"/>
        <v>517</v>
      </c>
      <c r="S6" s="325">
        <f t="shared" si="6"/>
        <v>0</v>
      </c>
    </row>
    <row r="7" spans="1:19" x14ac:dyDescent="0.2">
      <c r="A7" s="55" t="s">
        <v>371</v>
      </c>
      <c r="B7" s="325">
        <v>0</v>
      </c>
      <c r="C7" s="325">
        <f>B7</f>
        <v>0</v>
      </c>
      <c r="D7" s="325">
        <f>B7-C7</f>
        <v>0</v>
      </c>
      <c r="E7" s="325">
        <v>0</v>
      </c>
      <c r="F7" s="325">
        <f>E7</f>
        <v>0</v>
      </c>
      <c r="G7" s="325">
        <f>E7-F7</f>
        <v>0</v>
      </c>
      <c r="H7" s="325">
        <v>0</v>
      </c>
      <c r="I7" s="325">
        <f t="shared" ref="I7" si="21">H7</f>
        <v>0</v>
      </c>
      <c r="J7" s="325">
        <f t="shared" ref="J7" si="22">H7-I7</f>
        <v>0</v>
      </c>
      <c r="K7" s="325">
        <v>0</v>
      </c>
      <c r="L7" s="325">
        <f t="shared" ref="L7" si="23">K7</f>
        <v>0</v>
      </c>
      <c r="M7" s="325">
        <f t="shared" ref="M7" si="24">K7-L7</f>
        <v>0</v>
      </c>
      <c r="N7" s="325">
        <f>528+99</f>
        <v>627</v>
      </c>
      <c r="O7" s="325">
        <f t="shared" ref="O7" si="25">N7</f>
        <v>627</v>
      </c>
      <c r="P7" s="325">
        <f t="shared" ref="P7" si="26">N7-O7</f>
        <v>0</v>
      </c>
      <c r="Q7" s="325">
        <v>495</v>
      </c>
      <c r="R7" s="325">
        <f t="shared" ref="R7" si="27">Q7</f>
        <v>495</v>
      </c>
      <c r="S7" s="325">
        <f t="shared" ref="S7" si="28">Q7-R7</f>
        <v>0</v>
      </c>
    </row>
    <row r="8" spans="1:19" x14ac:dyDescent="0.2">
      <c r="A8" s="55" t="s">
        <v>374</v>
      </c>
      <c r="B8" s="325">
        <v>363</v>
      </c>
      <c r="C8" s="325">
        <f>B8</f>
        <v>363</v>
      </c>
      <c r="D8" s="325">
        <f t="shared" si="7"/>
        <v>0</v>
      </c>
      <c r="E8" s="325">
        <v>0</v>
      </c>
      <c r="F8" s="325">
        <f t="shared" si="8"/>
        <v>0</v>
      </c>
      <c r="G8" s="325">
        <f t="shared" si="9"/>
        <v>0</v>
      </c>
      <c r="H8" s="325">
        <v>0</v>
      </c>
      <c r="I8" s="325">
        <f t="shared" si="10"/>
        <v>0</v>
      </c>
      <c r="J8" s="325">
        <f t="shared" si="11"/>
        <v>0</v>
      </c>
      <c r="K8" s="325">
        <v>1254</v>
      </c>
      <c r="L8" s="325">
        <f t="shared" si="1"/>
        <v>1254</v>
      </c>
      <c r="M8" s="325">
        <f t="shared" si="2"/>
        <v>0</v>
      </c>
      <c r="N8" s="325">
        <v>693</v>
      </c>
      <c r="O8" s="325">
        <f t="shared" si="1"/>
        <v>693</v>
      </c>
      <c r="P8" s="325">
        <f t="shared" si="4"/>
        <v>0</v>
      </c>
      <c r="Q8" s="325">
        <v>572</v>
      </c>
      <c r="R8" s="325">
        <f t="shared" si="1"/>
        <v>572</v>
      </c>
      <c r="S8" s="325">
        <f t="shared" si="6"/>
        <v>0</v>
      </c>
    </row>
    <row r="9" spans="1:19" x14ac:dyDescent="0.2">
      <c r="A9" s="48" t="s">
        <v>34</v>
      </c>
      <c r="B9" s="339">
        <f>SUM(B3:B8)</f>
        <v>2205.0500000000002</v>
      </c>
      <c r="C9" s="339">
        <f t="shared" ref="C9:P9" si="29">SUM(C3:C8)</f>
        <v>2203.3000000000002</v>
      </c>
      <c r="D9" s="339">
        <f t="shared" si="29"/>
        <v>1.75</v>
      </c>
      <c r="E9" s="339">
        <f t="shared" si="29"/>
        <v>1651.61</v>
      </c>
      <c r="F9" s="339">
        <f t="shared" si="29"/>
        <v>1628</v>
      </c>
      <c r="G9" s="339">
        <f t="shared" si="29"/>
        <v>23.6099999999999</v>
      </c>
      <c r="H9" s="339">
        <f t="shared" si="29"/>
        <v>1859.17</v>
      </c>
      <c r="I9" s="339">
        <f t="shared" si="29"/>
        <v>1832.6</v>
      </c>
      <c r="J9" s="339">
        <f t="shared" si="29"/>
        <v>26.570000000000164</v>
      </c>
      <c r="K9" s="339">
        <f t="shared" si="29"/>
        <v>2777.5</v>
      </c>
      <c r="L9" s="339">
        <f t="shared" si="29"/>
        <v>2777.5</v>
      </c>
      <c r="M9" s="339">
        <f t="shared" si="29"/>
        <v>0</v>
      </c>
      <c r="N9" s="339">
        <f>SUM(N3:N8)</f>
        <v>2552</v>
      </c>
      <c r="O9" s="339">
        <f t="shared" si="29"/>
        <v>2552</v>
      </c>
      <c r="P9" s="339">
        <f t="shared" si="29"/>
        <v>0</v>
      </c>
      <c r="Q9" s="339">
        <f>SUM(Q3:Q8)</f>
        <v>2035</v>
      </c>
      <c r="R9" s="339">
        <f t="shared" ref="R9:S9" si="30">SUM(R3:R8)</f>
        <v>2035</v>
      </c>
      <c r="S9" s="339">
        <f t="shared" si="30"/>
        <v>0</v>
      </c>
    </row>
    <row r="10" spans="1:19" x14ac:dyDescent="0.2">
      <c r="A10" s="340" t="s">
        <v>242</v>
      </c>
      <c r="B10" s="341">
        <f>'SA-Tech''s'!B26</f>
        <v>2297</v>
      </c>
      <c r="C10" s="341">
        <f>'SA-Tech''s'!C26</f>
        <v>2297</v>
      </c>
      <c r="D10" s="341">
        <f>'SA-Tech''s'!D26</f>
        <v>0</v>
      </c>
      <c r="E10" s="341">
        <f>'SA-Tech''s'!E26</f>
        <v>2778.2</v>
      </c>
      <c r="F10" s="341">
        <f>'SA-Tech''s'!F26</f>
        <v>2751.5</v>
      </c>
      <c r="G10" s="341">
        <f>'SA-Tech''s'!G26</f>
        <v>26.699999999999989</v>
      </c>
      <c r="H10" s="341">
        <f>'SA-Tech''s'!H26</f>
        <v>4716.8100000000004</v>
      </c>
      <c r="I10" s="341">
        <f>'SA-Tech''s'!I26</f>
        <v>4665.8999999999996</v>
      </c>
      <c r="J10" s="341">
        <f>'SA-Tech''s'!J26</f>
        <v>50.910000000000082</v>
      </c>
      <c r="K10" s="341">
        <f>'SA-Tech''s'!K26</f>
        <v>4926.5</v>
      </c>
      <c r="L10" s="341">
        <f>'SA-Tech''s'!L26</f>
        <v>4926.5</v>
      </c>
      <c r="M10" s="341">
        <f>'SA-Tech''s'!M26</f>
        <v>0</v>
      </c>
      <c r="N10" s="341">
        <f>'SA-Tech''s'!N26</f>
        <v>7388.1</v>
      </c>
      <c r="O10" s="341">
        <f>'SA-Tech''s'!O26</f>
        <v>7388.1</v>
      </c>
      <c r="P10" s="341">
        <f>'SA-Tech''s'!P26</f>
        <v>0</v>
      </c>
      <c r="Q10" s="341">
        <f>'SA-Tech''s'!Q26</f>
        <v>6807.7</v>
      </c>
      <c r="R10" s="341">
        <f>'SA-Tech''s'!R26</f>
        <v>6807.7</v>
      </c>
      <c r="S10" s="341">
        <f>'SA-Tech''s'!S26</f>
        <v>0</v>
      </c>
    </row>
    <row r="11" spans="1:19" x14ac:dyDescent="0.2">
      <c r="A11" s="342" t="s">
        <v>241</v>
      </c>
      <c r="B11" s="343">
        <f t="shared" ref="B11:S11" si="31">SUM(B9:B10)</f>
        <v>4502.05</v>
      </c>
      <c r="C11" s="343">
        <f t="shared" si="31"/>
        <v>4500.3</v>
      </c>
      <c r="D11" s="343">
        <f t="shared" si="31"/>
        <v>1.75</v>
      </c>
      <c r="E11" s="343">
        <f t="shared" si="31"/>
        <v>4429.8099999999995</v>
      </c>
      <c r="F11" s="343">
        <f t="shared" si="31"/>
        <v>4379.5</v>
      </c>
      <c r="G11" s="343">
        <f t="shared" si="31"/>
        <v>50.309999999999889</v>
      </c>
      <c r="H11" s="343">
        <f t="shared" si="31"/>
        <v>6575.9800000000005</v>
      </c>
      <c r="I11" s="343">
        <f t="shared" si="31"/>
        <v>6498.5</v>
      </c>
      <c r="J11" s="343">
        <f t="shared" si="31"/>
        <v>77.480000000000246</v>
      </c>
      <c r="K11" s="343">
        <f t="shared" si="31"/>
        <v>7704</v>
      </c>
      <c r="L11" s="343">
        <f t="shared" si="31"/>
        <v>7704</v>
      </c>
      <c r="M11" s="343">
        <f t="shared" si="31"/>
        <v>0</v>
      </c>
      <c r="N11" s="343">
        <f t="shared" si="31"/>
        <v>9940.1</v>
      </c>
      <c r="O11" s="343">
        <f t="shared" si="31"/>
        <v>9940.1</v>
      </c>
      <c r="P11" s="343">
        <f t="shared" si="31"/>
        <v>0</v>
      </c>
      <c r="Q11" s="343">
        <f t="shared" si="31"/>
        <v>8842.7000000000007</v>
      </c>
      <c r="R11" s="343">
        <f t="shared" si="31"/>
        <v>8842.7000000000007</v>
      </c>
      <c r="S11" s="343">
        <f t="shared" si="31"/>
        <v>0</v>
      </c>
    </row>
    <row r="12" spans="1:19" x14ac:dyDescent="0.2">
      <c r="A12" s="342"/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</row>
    <row r="13" spans="1:19" s="25" customFormat="1" x14ac:dyDescent="0.2">
      <c r="A13" s="337"/>
      <c r="B13" s="406" t="s">
        <v>130</v>
      </c>
      <c r="C13" s="406"/>
      <c r="D13" s="406"/>
      <c r="E13" s="406" t="s">
        <v>131</v>
      </c>
      <c r="F13" s="406"/>
      <c r="G13" s="406"/>
      <c r="H13" s="407" t="s">
        <v>132</v>
      </c>
      <c r="I13" s="407"/>
      <c r="J13" s="407"/>
      <c r="K13" s="406" t="s">
        <v>133</v>
      </c>
      <c r="L13" s="406"/>
      <c r="M13" s="406"/>
      <c r="N13" s="406" t="s">
        <v>15</v>
      </c>
      <c r="O13" s="406"/>
      <c r="P13" s="406"/>
      <c r="Q13" s="407" t="s">
        <v>134</v>
      </c>
      <c r="R13" s="407"/>
      <c r="S13" s="407"/>
    </row>
    <row r="14" spans="1:19" x14ac:dyDescent="0.2">
      <c r="A14" s="55"/>
      <c r="B14" s="325" t="s">
        <v>34</v>
      </c>
      <c r="C14" s="325" t="s">
        <v>31</v>
      </c>
      <c r="D14" s="325" t="s">
        <v>32</v>
      </c>
      <c r="E14" s="325" t="s">
        <v>34</v>
      </c>
      <c r="F14" s="325" t="s">
        <v>31</v>
      </c>
      <c r="G14" s="325" t="s">
        <v>32</v>
      </c>
      <c r="H14" s="199" t="s">
        <v>34</v>
      </c>
      <c r="I14" s="199" t="s">
        <v>31</v>
      </c>
      <c r="J14" s="199" t="s">
        <v>32</v>
      </c>
      <c r="K14" s="325" t="s">
        <v>34</v>
      </c>
      <c r="L14" s="325" t="s">
        <v>31</v>
      </c>
      <c r="M14" s="325" t="s">
        <v>32</v>
      </c>
      <c r="N14" s="325" t="s">
        <v>34</v>
      </c>
      <c r="O14" s="325" t="s">
        <v>31</v>
      </c>
      <c r="P14" s="325" t="s">
        <v>32</v>
      </c>
      <c r="Q14" s="325" t="s">
        <v>34</v>
      </c>
      <c r="R14" s="325" t="s">
        <v>31</v>
      </c>
      <c r="S14" s="325" t="s">
        <v>32</v>
      </c>
    </row>
    <row r="15" spans="1:19" x14ac:dyDescent="0.2">
      <c r="A15" s="55" t="s">
        <v>367</v>
      </c>
      <c r="B15" s="325">
        <v>0</v>
      </c>
      <c r="C15" s="325">
        <v>0</v>
      </c>
      <c r="D15" s="325">
        <f>B15-C15</f>
        <v>0</v>
      </c>
      <c r="E15" s="325">
        <v>220</v>
      </c>
      <c r="F15" s="325">
        <f>E15</f>
        <v>220</v>
      </c>
      <c r="G15" s="325">
        <f>E15-F15</f>
        <v>0</v>
      </c>
      <c r="H15" s="325">
        <v>291.5</v>
      </c>
      <c r="I15" s="325">
        <f>H15</f>
        <v>291.5</v>
      </c>
      <c r="J15" s="325">
        <f t="shared" ref="J15" si="32">H15-I15</f>
        <v>0</v>
      </c>
      <c r="K15" s="325">
        <v>0</v>
      </c>
      <c r="L15" s="325">
        <f t="shared" ref="L15" si="33">K15</f>
        <v>0</v>
      </c>
      <c r="M15" s="325">
        <f t="shared" ref="M15" si="34">K15-L15</f>
        <v>0</v>
      </c>
      <c r="N15" s="325">
        <f t="shared" ref="N15" si="35">K15</f>
        <v>0</v>
      </c>
      <c r="O15" s="325">
        <f t="shared" ref="O15" si="36">N15</f>
        <v>0</v>
      </c>
      <c r="P15" s="325">
        <f t="shared" ref="P15" si="37">N15-O15</f>
        <v>0</v>
      </c>
      <c r="Q15" s="325">
        <f t="shared" ref="Q15" si="38">N15</f>
        <v>0</v>
      </c>
      <c r="R15" s="325">
        <f t="shared" ref="R15" si="39">Q15</f>
        <v>0</v>
      </c>
      <c r="S15" s="325">
        <f t="shared" ref="S15" si="40">Q15-R15</f>
        <v>0</v>
      </c>
    </row>
    <row r="16" spans="1:19" x14ac:dyDescent="0.2">
      <c r="A16" s="55" t="s">
        <v>368</v>
      </c>
      <c r="B16" s="325">
        <v>352</v>
      </c>
      <c r="C16" s="325">
        <f t="shared" ref="C16" si="41">B16</f>
        <v>352</v>
      </c>
      <c r="D16" s="325">
        <f t="shared" ref="D16" si="42">B16-C16</f>
        <v>0</v>
      </c>
      <c r="E16" s="325">
        <v>561</v>
      </c>
      <c r="F16" s="325">
        <f t="shared" ref="F16" si="43">E16</f>
        <v>561</v>
      </c>
      <c r="G16" s="325">
        <f t="shared" ref="G16" si="44">E16-F16</f>
        <v>0</v>
      </c>
      <c r="H16" s="325">
        <v>517</v>
      </c>
      <c r="I16" s="325">
        <f t="shared" ref="I16:I19" si="45">H16</f>
        <v>517</v>
      </c>
      <c r="J16" s="325">
        <f t="shared" ref="J16:J19" si="46">H16-I16</f>
        <v>0</v>
      </c>
      <c r="K16" s="325">
        <v>412.5</v>
      </c>
      <c r="L16" s="325">
        <f t="shared" ref="L16:L19" si="47">K16</f>
        <v>412.5</v>
      </c>
      <c r="M16" s="325">
        <f t="shared" ref="M16:M19" si="48">K16-L16</f>
        <v>0</v>
      </c>
      <c r="N16" s="325">
        <f t="shared" ref="N16:N19" si="49">K16</f>
        <v>412.5</v>
      </c>
      <c r="O16" s="325">
        <f t="shared" ref="O16:O19" si="50">N16</f>
        <v>412.5</v>
      </c>
      <c r="P16" s="325">
        <f t="shared" ref="P16:P19" si="51">N16-O16</f>
        <v>0</v>
      </c>
      <c r="Q16" s="325">
        <f t="shared" ref="Q16:Q19" si="52">N16</f>
        <v>412.5</v>
      </c>
      <c r="R16" s="325">
        <f t="shared" ref="R16:R19" si="53">Q16</f>
        <v>412.5</v>
      </c>
      <c r="S16" s="325">
        <f t="shared" ref="S16:S19" si="54">Q16-R16</f>
        <v>0</v>
      </c>
    </row>
    <row r="17" spans="1:19" x14ac:dyDescent="0.2">
      <c r="A17" s="55" t="s">
        <v>369</v>
      </c>
      <c r="B17" s="325">
        <v>198</v>
      </c>
      <c r="C17" s="325">
        <f t="shared" ref="C17:C19" si="55">B17</f>
        <v>198</v>
      </c>
      <c r="D17" s="325">
        <f t="shared" ref="D17:D19" si="56">B17-C17</f>
        <v>0</v>
      </c>
      <c r="E17" s="325">
        <v>0</v>
      </c>
      <c r="F17" s="325">
        <f t="shared" ref="F17:F19" si="57">E17</f>
        <v>0</v>
      </c>
      <c r="G17" s="325">
        <f t="shared" ref="G17:G19" si="58">E17-F17</f>
        <v>0</v>
      </c>
      <c r="H17" s="325">
        <f t="shared" ref="H17" si="59">E17</f>
        <v>0</v>
      </c>
      <c r="I17" s="325">
        <f t="shared" si="45"/>
        <v>0</v>
      </c>
      <c r="J17" s="325">
        <f t="shared" si="46"/>
        <v>0</v>
      </c>
      <c r="K17" s="325">
        <v>0</v>
      </c>
      <c r="L17" s="325">
        <f t="shared" si="47"/>
        <v>0</v>
      </c>
      <c r="M17" s="325">
        <f t="shared" si="48"/>
        <v>0</v>
      </c>
      <c r="N17" s="325">
        <f t="shared" si="49"/>
        <v>0</v>
      </c>
      <c r="O17" s="325">
        <f t="shared" si="50"/>
        <v>0</v>
      </c>
      <c r="P17" s="325">
        <f t="shared" si="51"/>
        <v>0</v>
      </c>
      <c r="Q17" s="325">
        <f t="shared" si="52"/>
        <v>0</v>
      </c>
      <c r="R17" s="325">
        <f t="shared" si="53"/>
        <v>0</v>
      </c>
      <c r="S17" s="325">
        <f t="shared" si="54"/>
        <v>0</v>
      </c>
    </row>
    <row r="18" spans="1:19" x14ac:dyDescent="0.2">
      <c r="A18" s="55" t="s">
        <v>370</v>
      </c>
      <c r="B18" s="325">
        <v>330</v>
      </c>
      <c r="C18" s="325">
        <f t="shared" si="55"/>
        <v>330</v>
      </c>
      <c r="D18" s="325">
        <f t="shared" si="56"/>
        <v>0</v>
      </c>
      <c r="E18" s="325">
        <v>517</v>
      </c>
      <c r="F18" s="325">
        <f t="shared" si="57"/>
        <v>517</v>
      </c>
      <c r="G18" s="325">
        <f t="shared" si="58"/>
        <v>0</v>
      </c>
      <c r="H18" s="325">
        <v>506</v>
      </c>
      <c r="I18" s="325">
        <f t="shared" si="45"/>
        <v>506</v>
      </c>
      <c r="J18" s="325">
        <f t="shared" si="46"/>
        <v>0</v>
      </c>
      <c r="K18" s="325">
        <v>423.5</v>
      </c>
      <c r="L18" s="325">
        <f t="shared" si="47"/>
        <v>423.5</v>
      </c>
      <c r="M18" s="325">
        <f t="shared" si="48"/>
        <v>0</v>
      </c>
      <c r="N18" s="325">
        <f t="shared" si="49"/>
        <v>423.5</v>
      </c>
      <c r="O18" s="325">
        <f t="shared" si="50"/>
        <v>423.5</v>
      </c>
      <c r="P18" s="325">
        <f t="shared" si="51"/>
        <v>0</v>
      </c>
      <c r="Q18" s="325">
        <f t="shared" si="52"/>
        <v>423.5</v>
      </c>
      <c r="R18" s="325">
        <f t="shared" si="53"/>
        <v>423.5</v>
      </c>
      <c r="S18" s="325">
        <f t="shared" si="54"/>
        <v>0</v>
      </c>
    </row>
    <row r="19" spans="1:19" x14ac:dyDescent="0.2">
      <c r="A19" s="55" t="s">
        <v>371</v>
      </c>
      <c r="B19" s="325">
        <v>352</v>
      </c>
      <c r="C19" s="325">
        <f t="shared" si="55"/>
        <v>352</v>
      </c>
      <c r="D19" s="325">
        <f t="shared" si="56"/>
        <v>0</v>
      </c>
      <c r="E19" s="325">
        <v>644</v>
      </c>
      <c r="F19" s="325">
        <f t="shared" si="57"/>
        <v>644</v>
      </c>
      <c r="G19" s="325">
        <f t="shared" si="58"/>
        <v>0</v>
      </c>
      <c r="H19" s="325">
        <v>713</v>
      </c>
      <c r="I19" s="325">
        <f t="shared" si="45"/>
        <v>713</v>
      </c>
      <c r="J19" s="325">
        <f t="shared" si="46"/>
        <v>0</v>
      </c>
      <c r="K19" s="325">
        <v>563.5</v>
      </c>
      <c r="L19" s="325">
        <f t="shared" si="47"/>
        <v>563.5</v>
      </c>
      <c r="M19" s="325">
        <f t="shared" si="48"/>
        <v>0</v>
      </c>
      <c r="N19" s="325">
        <f t="shared" si="49"/>
        <v>563.5</v>
      </c>
      <c r="O19" s="325">
        <f t="shared" si="50"/>
        <v>563.5</v>
      </c>
      <c r="P19" s="325">
        <f t="shared" si="51"/>
        <v>0</v>
      </c>
      <c r="Q19" s="325">
        <f t="shared" si="52"/>
        <v>563.5</v>
      </c>
      <c r="R19" s="325">
        <f t="shared" si="53"/>
        <v>563.5</v>
      </c>
      <c r="S19" s="325">
        <f t="shared" si="54"/>
        <v>0</v>
      </c>
    </row>
    <row r="20" spans="1:19" s="74" customFormat="1" x14ac:dyDescent="0.2">
      <c r="A20" s="55" t="s">
        <v>374</v>
      </c>
      <c r="B20" s="325">
        <v>0</v>
      </c>
      <c r="C20" s="325">
        <f>B20</f>
        <v>0</v>
      </c>
      <c r="D20" s="325">
        <f>B20-C20</f>
        <v>0</v>
      </c>
      <c r="E20" s="325">
        <v>0</v>
      </c>
      <c r="F20" s="325">
        <f>E20</f>
        <v>0</v>
      </c>
      <c r="G20" s="325">
        <f>E20-F20</f>
        <v>0</v>
      </c>
      <c r="H20" s="325">
        <v>187</v>
      </c>
      <c r="I20" s="325">
        <f>H20</f>
        <v>187</v>
      </c>
      <c r="J20" s="325">
        <f>H20-I20</f>
        <v>0</v>
      </c>
      <c r="K20" s="325">
        <v>352</v>
      </c>
      <c r="L20" s="325">
        <f>K20</f>
        <v>352</v>
      </c>
      <c r="M20" s="325">
        <f>K20-L20</f>
        <v>0</v>
      </c>
      <c r="N20" s="325">
        <f>K20</f>
        <v>352</v>
      </c>
      <c r="O20" s="325">
        <f>N20</f>
        <v>352</v>
      </c>
      <c r="P20" s="325">
        <f>N20-O20</f>
        <v>0</v>
      </c>
      <c r="Q20" s="325">
        <f>N20</f>
        <v>352</v>
      </c>
      <c r="R20" s="325">
        <f>Q20</f>
        <v>352</v>
      </c>
      <c r="S20" s="325">
        <f>Q20-R20</f>
        <v>0</v>
      </c>
    </row>
    <row r="21" spans="1:19" x14ac:dyDescent="0.2">
      <c r="A21" s="48" t="s">
        <v>34</v>
      </c>
      <c r="B21" s="336">
        <f>SUM(B15:B20)</f>
        <v>1232</v>
      </c>
      <c r="C21" s="336">
        <f t="shared" ref="C21:S21" si="60">SUM(C15:C20)</f>
        <v>1232</v>
      </c>
      <c r="D21" s="336">
        <f t="shared" si="60"/>
        <v>0</v>
      </c>
      <c r="E21" s="336">
        <f t="shared" si="60"/>
        <v>1942</v>
      </c>
      <c r="F21" s="336">
        <f t="shared" si="60"/>
        <v>1942</v>
      </c>
      <c r="G21" s="336">
        <f t="shared" si="60"/>
        <v>0</v>
      </c>
      <c r="H21" s="336">
        <f t="shared" si="60"/>
        <v>2214.5</v>
      </c>
      <c r="I21" s="336">
        <f t="shared" si="60"/>
        <v>2214.5</v>
      </c>
      <c r="J21" s="336">
        <f t="shared" si="60"/>
        <v>0</v>
      </c>
      <c r="K21" s="336">
        <f t="shared" si="60"/>
        <v>1751.5</v>
      </c>
      <c r="L21" s="336">
        <f t="shared" si="60"/>
        <v>1751.5</v>
      </c>
      <c r="M21" s="336">
        <f t="shared" si="60"/>
        <v>0</v>
      </c>
      <c r="N21" s="336">
        <f t="shared" si="60"/>
        <v>1751.5</v>
      </c>
      <c r="O21" s="336">
        <f t="shared" si="60"/>
        <v>1751.5</v>
      </c>
      <c r="P21" s="336">
        <f t="shared" si="60"/>
        <v>0</v>
      </c>
      <c r="Q21" s="336">
        <f t="shared" si="60"/>
        <v>1751.5</v>
      </c>
      <c r="R21" s="336">
        <f t="shared" si="60"/>
        <v>1751.5</v>
      </c>
      <c r="S21" s="336">
        <f t="shared" si="60"/>
        <v>0</v>
      </c>
    </row>
    <row r="22" spans="1:19" x14ac:dyDescent="0.2">
      <c r="A22" s="340" t="s">
        <v>242</v>
      </c>
      <c r="B22" s="344">
        <f>'SA-Tech''s'!B44</f>
        <v>4728.8999999999996</v>
      </c>
      <c r="C22" s="344">
        <f>'SA-Tech''s'!C44</f>
        <v>4728.8999999999996</v>
      </c>
      <c r="D22" s="344">
        <f>'SA-Tech''s'!D44</f>
        <v>0</v>
      </c>
      <c r="E22" s="344">
        <f>'SA-Tech''s'!E44</f>
        <v>7206.8</v>
      </c>
      <c r="F22" s="344">
        <f>'SA-Tech''s'!F44</f>
        <v>7206.8</v>
      </c>
      <c r="G22" s="344">
        <f>'SA-Tech''s'!G44</f>
        <v>0</v>
      </c>
      <c r="H22" s="344">
        <f>'SA-Tech''s'!H44</f>
        <v>8200</v>
      </c>
      <c r="I22" s="344">
        <f>'SA-Tech''s'!I44</f>
        <v>8200</v>
      </c>
      <c r="J22" s="344">
        <f>'SA-Tech''s'!J44</f>
        <v>0</v>
      </c>
      <c r="K22" s="344">
        <f>'SA-Tech''s'!K44</f>
        <v>6425.3</v>
      </c>
      <c r="L22" s="344">
        <f>'SA-Tech''s'!L44</f>
        <v>6425.3</v>
      </c>
      <c r="M22" s="344">
        <f>'SA-Tech''s'!M44</f>
        <v>0</v>
      </c>
      <c r="N22" s="344">
        <f>'SA-Tech''s'!N44</f>
        <v>4605.7</v>
      </c>
      <c r="O22" s="344">
        <f>'SA-Tech''s'!O44</f>
        <v>4605.7</v>
      </c>
      <c r="P22" s="344">
        <f>'SA-Tech''s'!P44</f>
        <v>0</v>
      </c>
      <c r="Q22" s="344">
        <f>'SA-Tech''s'!Q44</f>
        <v>4605.7</v>
      </c>
      <c r="R22" s="344">
        <f>'SA-Tech''s'!R44</f>
        <v>4605.7</v>
      </c>
      <c r="S22" s="344">
        <f>'SA-Tech''s'!S44</f>
        <v>0</v>
      </c>
    </row>
    <row r="23" spans="1:19" x14ac:dyDescent="0.2">
      <c r="A23" s="345" t="s">
        <v>241</v>
      </c>
      <c r="B23" s="344">
        <f>SUM(B21:B22)</f>
        <v>5960.9</v>
      </c>
      <c r="C23" s="344">
        <f t="shared" ref="C23:S23" si="61">SUM(C21:C22)</f>
        <v>5960.9</v>
      </c>
      <c r="D23" s="344">
        <f t="shared" si="61"/>
        <v>0</v>
      </c>
      <c r="E23" s="344">
        <f t="shared" si="61"/>
        <v>9148.7999999999993</v>
      </c>
      <c r="F23" s="344">
        <f t="shared" si="61"/>
        <v>9148.7999999999993</v>
      </c>
      <c r="G23" s="344">
        <f t="shared" si="61"/>
        <v>0</v>
      </c>
      <c r="H23" s="344">
        <f t="shared" si="61"/>
        <v>10414.5</v>
      </c>
      <c r="I23" s="344">
        <f t="shared" si="61"/>
        <v>10414.5</v>
      </c>
      <c r="J23" s="344">
        <f t="shared" si="61"/>
        <v>0</v>
      </c>
      <c r="K23" s="344">
        <f t="shared" si="61"/>
        <v>8176.8</v>
      </c>
      <c r="L23" s="344">
        <f t="shared" si="61"/>
        <v>8176.8</v>
      </c>
      <c r="M23" s="344">
        <f t="shared" si="61"/>
        <v>0</v>
      </c>
      <c r="N23" s="344">
        <f t="shared" si="61"/>
        <v>6357.2</v>
      </c>
      <c r="O23" s="344">
        <f t="shared" si="61"/>
        <v>6357.2</v>
      </c>
      <c r="P23" s="344">
        <f t="shared" si="61"/>
        <v>0</v>
      </c>
      <c r="Q23" s="344">
        <f t="shared" si="61"/>
        <v>6357.2</v>
      </c>
      <c r="R23" s="344">
        <f t="shared" si="61"/>
        <v>6357.2</v>
      </c>
      <c r="S23" s="344">
        <f t="shared" si="61"/>
        <v>0</v>
      </c>
    </row>
    <row r="24" spans="1:19" x14ac:dyDescent="0.2">
      <c r="A24" s="55"/>
      <c r="B24" s="396" t="s">
        <v>72</v>
      </c>
      <c r="C24" s="396"/>
      <c r="D24" s="396"/>
      <c r="E24" s="400">
        <f>C11+F11+I11+L11+O11+R11+C23+F23+I23+L23+O23+R23</f>
        <v>88280.5</v>
      </c>
      <c r="F24" s="393"/>
      <c r="G24" s="55"/>
      <c r="H24" s="132"/>
      <c r="I24" s="132"/>
      <c r="J24" s="132"/>
      <c r="K24" s="55"/>
      <c r="L24" s="55"/>
      <c r="M24" s="55"/>
      <c r="N24" s="55"/>
      <c r="O24" s="55"/>
      <c r="P24" s="55"/>
      <c r="Q24" s="55"/>
      <c r="R24" s="55"/>
      <c r="S24" s="55"/>
    </row>
    <row r="25" spans="1:19" x14ac:dyDescent="0.2">
      <c r="A25" s="55"/>
      <c r="B25" s="396" t="s">
        <v>73</v>
      </c>
      <c r="C25" s="396"/>
      <c r="D25" s="396"/>
      <c r="E25" s="400">
        <f>D11+G11+J11+M11+P11+S11+D23+G23+J23+M23+P23+S23</f>
        <v>129.54000000000013</v>
      </c>
      <c r="F25" s="393"/>
      <c r="G25" s="55"/>
      <c r="H25" s="132"/>
      <c r="I25" s="132"/>
      <c r="J25" s="132"/>
      <c r="K25" s="55"/>
      <c r="L25" s="55"/>
      <c r="M25" s="55"/>
      <c r="N25" s="55"/>
      <c r="O25" s="55"/>
      <c r="P25" s="55"/>
      <c r="Q25" s="55"/>
      <c r="R25" s="55"/>
      <c r="S25" s="55"/>
    </row>
    <row r="26" spans="1:19" x14ac:dyDescent="0.2">
      <c r="A26" s="55"/>
      <c r="B26" s="397" t="s">
        <v>38</v>
      </c>
      <c r="C26" s="398"/>
      <c r="D26" s="399"/>
      <c r="E26" s="401">
        <f>E24+E25</f>
        <v>88410.04</v>
      </c>
      <c r="F26" s="402"/>
      <c r="G26" s="55"/>
      <c r="H26" s="132"/>
      <c r="I26" s="132"/>
      <c r="J26" s="132"/>
      <c r="K26" s="55"/>
      <c r="L26" s="55"/>
      <c r="M26" s="55"/>
      <c r="N26" s="55"/>
      <c r="O26" s="55"/>
      <c r="P26" s="55"/>
      <c r="Q26" s="55"/>
      <c r="R26" s="55"/>
      <c r="S26" s="55"/>
    </row>
  </sheetData>
  <sortState ref="A15:S24">
    <sortCondition ref="A13:A19"/>
  </sortState>
  <mergeCells count="18">
    <mergeCell ref="B24:D24"/>
    <mergeCell ref="E24:F24"/>
    <mergeCell ref="B25:D25"/>
    <mergeCell ref="E25:F25"/>
    <mergeCell ref="B26:D26"/>
    <mergeCell ref="E26:F26"/>
    <mergeCell ref="Q1:S1"/>
    <mergeCell ref="B13:D13"/>
    <mergeCell ref="E13:G13"/>
    <mergeCell ref="H13:J13"/>
    <mergeCell ref="K13:M13"/>
    <mergeCell ref="N13:P13"/>
    <mergeCell ref="Q13:S13"/>
    <mergeCell ref="B1:D1"/>
    <mergeCell ref="E1:G1"/>
    <mergeCell ref="H1:J1"/>
    <mergeCell ref="K1:M1"/>
    <mergeCell ref="N1:P1"/>
  </mergeCells>
  <printOptions horizontalCentered="1" gridLines="1"/>
  <pageMargins left="0" right="0" top="0.75" bottom="0" header="0.3" footer="0.3"/>
  <pageSetup scale="80" orientation="landscape" r:id="rId1"/>
  <headerFooter>
    <oddHeader>&amp;LElectrical Engineering Department&amp;C Budget and Expenditure Projection 2016-17
&amp;R&amp;A</oddHeader>
    <oddFooter>&amp;R&amp;8&amp;D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8" tint="0.59999389629810485"/>
  </sheetPr>
  <dimension ref="A1:S49"/>
  <sheetViews>
    <sheetView tabSelected="1" topLeftCell="A4" workbookViewId="0">
      <selection activeCell="G34" sqref="G34"/>
    </sheetView>
  </sheetViews>
  <sheetFormatPr defaultColWidth="9.140625" defaultRowHeight="12.75" x14ac:dyDescent="0.2"/>
  <cols>
    <col min="1" max="1" width="12.28515625" style="74" customWidth="1"/>
    <col min="2" max="3" width="8.7109375" style="172" bestFit="1" customWidth="1"/>
    <col min="4" max="4" width="7.7109375" style="172" bestFit="1" customWidth="1"/>
    <col min="5" max="6" width="8.7109375" style="74" bestFit="1" customWidth="1"/>
    <col min="7" max="7" width="7.7109375" style="74" bestFit="1" customWidth="1"/>
    <col min="8" max="9" width="8.7109375" style="74" bestFit="1" customWidth="1"/>
    <col min="10" max="10" width="7.7109375" style="74" bestFit="1" customWidth="1"/>
    <col min="11" max="12" width="8.7109375" style="74" bestFit="1" customWidth="1"/>
    <col min="13" max="13" width="7.7109375" style="74" bestFit="1" customWidth="1"/>
    <col min="14" max="15" width="8.7109375" style="74" bestFit="1" customWidth="1"/>
    <col min="16" max="16" width="7.7109375" style="74" bestFit="1" customWidth="1"/>
    <col min="17" max="18" width="8.7109375" style="74" bestFit="1" customWidth="1"/>
    <col min="19" max="19" width="7.7109375" style="74" bestFit="1" customWidth="1"/>
    <col min="20" max="16384" width="9.140625" style="74"/>
  </cols>
  <sheetData>
    <row r="1" spans="1:19" s="152" customFormat="1" x14ac:dyDescent="0.2">
      <c r="B1" s="411" t="s">
        <v>6</v>
      </c>
      <c r="C1" s="411"/>
      <c r="D1" s="411"/>
      <c r="E1" s="409" t="s">
        <v>125</v>
      </c>
      <c r="F1" s="409"/>
      <c r="G1" s="409"/>
      <c r="H1" s="409" t="s">
        <v>126</v>
      </c>
      <c r="I1" s="409"/>
      <c r="J1" s="409"/>
      <c r="K1" s="409" t="s">
        <v>127</v>
      </c>
      <c r="L1" s="409"/>
      <c r="M1" s="409"/>
      <c r="N1" s="409" t="s">
        <v>128</v>
      </c>
      <c r="O1" s="409"/>
      <c r="P1" s="409"/>
      <c r="Q1" s="409" t="s">
        <v>129</v>
      </c>
      <c r="R1" s="409"/>
      <c r="S1" s="409"/>
    </row>
    <row r="2" spans="1:19" x14ac:dyDescent="0.2">
      <c r="A2" s="55"/>
      <c r="B2" s="354" t="s">
        <v>33</v>
      </c>
      <c r="C2" s="354" t="s">
        <v>31</v>
      </c>
      <c r="D2" s="354" t="s">
        <v>32</v>
      </c>
      <c r="E2" s="325" t="s">
        <v>34</v>
      </c>
      <c r="F2" s="325" t="s">
        <v>31</v>
      </c>
      <c r="G2" s="325" t="s">
        <v>32</v>
      </c>
      <c r="H2" s="325" t="s">
        <v>34</v>
      </c>
      <c r="I2" s="325" t="s">
        <v>31</v>
      </c>
      <c r="J2" s="325" t="s">
        <v>32</v>
      </c>
      <c r="K2" s="325" t="s">
        <v>34</v>
      </c>
      <c r="L2" s="325" t="s">
        <v>31</v>
      </c>
      <c r="M2" s="325" t="s">
        <v>32</v>
      </c>
      <c r="N2" s="325" t="s">
        <v>34</v>
      </c>
      <c r="O2" s="349" t="s">
        <v>31</v>
      </c>
      <c r="P2" s="325" t="s">
        <v>32</v>
      </c>
      <c r="Q2" s="325" t="s">
        <v>34</v>
      </c>
      <c r="R2" s="325" t="s">
        <v>31</v>
      </c>
      <c r="S2" s="325" t="s">
        <v>32</v>
      </c>
    </row>
    <row r="3" spans="1:19" x14ac:dyDescent="0.2">
      <c r="A3" s="55" t="s">
        <v>367</v>
      </c>
      <c r="B3" s="354">
        <v>0</v>
      </c>
      <c r="C3" s="354">
        <f t="shared" ref="C3:C25" si="0">B3</f>
        <v>0</v>
      </c>
      <c r="D3" s="354">
        <f t="shared" ref="D3:D8" si="1">B3-C3</f>
        <v>0</v>
      </c>
      <c r="E3" s="325">
        <v>0</v>
      </c>
      <c r="F3" s="325">
        <v>0</v>
      </c>
      <c r="G3" s="325">
        <f t="shared" ref="G3:G25" si="2">E3-F3</f>
        <v>0</v>
      </c>
      <c r="H3" s="325">
        <v>0</v>
      </c>
      <c r="I3" s="325">
        <f>H3</f>
        <v>0</v>
      </c>
      <c r="J3" s="325">
        <f t="shared" ref="J3:J25" si="3">H3-I3</f>
        <v>0</v>
      </c>
      <c r="K3" s="325">
        <v>0</v>
      </c>
      <c r="L3" s="325">
        <f t="shared" ref="L3:L25" si="4">K3</f>
        <v>0</v>
      </c>
      <c r="M3" s="325">
        <f t="shared" ref="M3:M25" si="5">K3-L3</f>
        <v>0</v>
      </c>
      <c r="N3" s="325">
        <v>0</v>
      </c>
      <c r="O3" s="325">
        <f t="shared" ref="O3:O25" si="6">N3</f>
        <v>0</v>
      </c>
      <c r="P3" s="325">
        <f t="shared" ref="P3:P25" si="7">N3-O3</f>
        <v>0</v>
      </c>
      <c r="Q3" s="325">
        <v>36</v>
      </c>
      <c r="R3" s="325">
        <f t="shared" ref="R3:R25" si="8">Q3</f>
        <v>36</v>
      </c>
      <c r="S3" s="325">
        <f t="shared" ref="S3:S25" si="9">Q3-R3</f>
        <v>0</v>
      </c>
    </row>
    <row r="4" spans="1:19" x14ac:dyDescent="0.2">
      <c r="A4" s="55" t="s">
        <v>368</v>
      </c>
      <c r="B4" s="354">
        <v>0</v>
      </c>
      <c r="C4" s="354">
        <f t="shared" si="0"/>
        <v>0</v>
      </c>
      <c r="D4" s="354">
        <f t="shared" si="1"/>
        <v>0</v>
      </c>
      <c r="E4" s="325">
        <v>0</v>
      </c>
      <c r="F4" s="325">
        <v>0</v>
      </c>
      <c r="G4" s="325">
        <f t="shared" si="2"/>
        <v>0</v>
      </c>
      <c r="H4" s="325">
        <v>0</v>
      </c>
      <c r="I4" s="325">
        <f>H4</f>
        <v>0</v>
      </c>
      <c r="J4" s="325">
        <f t="shared" si="3"/>
        <v>0</v>
      </c>
      <c r="K4" s="325">
        <v>0</v>
      </c>
      <c r="L4" s="325">
        <f t="shared" si="4"/>
        <v>0</v>
      </c>
      <c r="M4" s="325">
        <f t="shared" si="5"/>
        <v>0</v>
      </c>
      <c r="N4" s="325">
        <v>572</v>
      </c>
      <c r="O4" s="325">
        <f t="shared" si="6"/>
        <v>572</v>
      </c>
      <c r="P4" s="325">
        <f t="shared" si="7"/>
        <v>0</v>
      </c>
      <c r="Q4" s="325">
        <v>440</v>
      </c>
      <c r="R4" s="325">
        <f t="shared" si="8"/>
        <v>440</v>
      </c>
      <c r="S4" s="325">
        <f t="shared" si="9"/>
        <v>0</v>
      </c>
    </row>
    <row r="5" spans="1:19" x14ac:dyDescent="0.2">
      <c r="A5" s="55" t="s">
        <v>369</v>
      </c>
      <c r="B5" s="354">
        <v>0</v>
      </c>
      <c r="C5" s="354">
        <f t="shared" si="0"/>
        <v>0</v>
      </c>
      <c r="D5" s="354">
        <f t="shared" si="1"/>
        <v>0</v>
      </c>
      <c r="E5" s="325">
        <v>0</v>
      </c>
      <c r="F5" s="325">
        <v>0</v>
      </c>
      <c r="G5" s="325">
        <f t="shared" si="2"/>
        <v>0</v>
      </c>
      <c r="H5" s="325">
        <v>0</v>
      </c>
      <c r="I5" s="325">
        <f>H5</f>
        <v>0</v>
      </c>
      <c r="J5" s="325">
        <f t="shared" si="3"/>
        <v>0</v>
      </c>
      <c r="K5" s="325">
        <v>0</v>
      </c>
      <c r="L5" s="325">
        <f t="shared" si="4"/>
        <v>0</v>
      </c>
      <c r="M5" s="325">
        <f t="shared" si="5"/>
        <v>0</v>
      </c>
      <c r="N5" s="325">
        <v>652.29999999999995</v>
      </c>
      <c r="O5" s="325">
        <f t="shared" si="6"/>
        <v>652.29999999999995</v>
      </c>
      <c r="P5" s="325">
        <f t="shared" si="7"/>
        <v>0</v>
      </c>
      <c r="Q5" s="325">
        <v>481.8</v>
      </c>
      <c r="R5" s="325">
        <f t="shared" si="8"/>
        <v>481.8</v>
      </c>
      <c r="S5" s="325">
        <f t="shared" si="9"/>
        <v>0</v>
      </c>
    </row>
    <row r="6" spans="1:19" x14ac:dyDescent="0.2">
      <c r="A6" s="55" t="s">
        <v>370</v>
      </c>
      <c r="B6" s="354">
        <v>60</v>
      </c>
      <c r="C6" s="354">
        <f t="shared" si="0"/>
        <v>60</v>
      </c>
      <c r="D6" s="354">
        <f t="shared" si="1"/>
        <v>0</v>
      </c>
      <c r="E6" s="325">
        <v>0</v>
      </c>
      <c r="F6" s="325">
        <v>0</v>
      </c>
      <c r="G6" s="325">
        <f t="shared" si="2"/>
        <v>0</v>
      </c>
      <c r="H6" s="325">
        <v>0</v>
      </c>
      <c r="I6" s="325">
        <f>H6</f>
        <v>0</v>
      </c>
      <c r="J6" s="325">
        <f t="shared" si="3"/>
        <v>0</v>
      </c>
      <c r="K6" s="325">
        <v>0</v>
      </c>
      <c r="L6" s="325">
        <f t="shared" si="4"/>
        <v>0</v>
      </c>
      <c r="M6" s="325">
        <f t="shared" si="5"/>
        <v>0</v>
      </c>
      <c r="N6" s="325">
        <v>0</v>
      </c>
      <c r="O6" s="325">
        <f t="shared" si="6"/>
        <v>0</v>
      </c>
      <c r="P6" s="325">
        <f t="shared" si="7"/>
        <v>0</v>
      </c>
      <c r="Q6" s="325">
        <v>0</v>
      </c>
      <c r="R6" s="325">
        <f t="shared" si="8"/>
        <v>0</v>
      </c>
      <c r="S6" s="325">
        <f t="shared" si="9"/>
        <v>0</v>
      </c>
    </row>
    <row r="7" spans="1:19" x14ac:dyDescent="0.2">
      <c r="A7" s="55" t="s">
        <v>371</v>
      </c>
      <c r="B7" s="354">
        <v>0</v>
      </c>
      <c r="C7" s="354">
        <f t="shared" si="0"/>
        <v>0</v>
      </c>
      <c r="D7" s="354">
        <f t="shared" si="1"/>
        <v>0</v>
      </c>
      <c r="E7" s="325">
        <v>267.83</v>
      </c>
      <c r="F7" s="325">
        <v>264</v>
      </c>
      <c r="G7" s="325">
        <f t="shared" si="2"/>
        <v>3.8299999999999841</v>
      </c>
      <c r="H7" s="325">
        <v>792.32</v>
      </c>
      <c r="I7" s="325">
        <v>781</v>
      </c>
      <c r="J7" s="325">
        <f t="shared" si="3"/>
        <v>11.32000000000005</v>
      </c>
      <c r="K7" s="325">
        <v>396</v>
      </c>
      <c r="L7" s="325">
        <f t="shared" si="4"/>
        <v>396</v>
      </c>
      <c r="M7" s="325">
        <f t="shared" si="5"/>
        <v>0</v>
      </c>
      <c r="N7" s="325">
        <v>0</v>
      </c>
      <c r="O7" s="325">
        <f t="shared" si="6"/>
        <v>0</v>
      </c>
      <c r="P7" s="325">
        <f t="shared" si="7"/>
        <v>0</v>
      </c>
      <c r="Q7" s="325">
        <v>0</v>
      </c>
      <c r="R7" s="325">
        <f t="shared" si="8"/>
        <v>0</v>
      </c>
      <c r="S7" s="325">
        <f t="shared" si="9"/>
        <v>0</v>
      </c>
    </row>
    <row r="8" spans="1:19" x14ac:dyDescent="0.2">
      <c r="A8" s="55" t="s">
        <v>374</v>
      </c>
      <c r="B8" s="354">
        <v>526.5</v>
      </c>
      <c r="C8" s="354">
        <f t="shared" si="0"/>
        <v>526.5</v>
      </c>
      <c r="D8" s="354">
        <f t="shared" si="1"/>
        <v>0</v>
      </c>
      <c r="E8" s="325">
        <v>910</v>
      </c>
      <c r="F8" s="325">
        <v>910</v>
      </c>
      <c r="G8" s="325">
        <f t="shared" si="2"/>
        <v>0</v>
      </c>
      <c r="H8" s="325">
        <v>1154.4000000000001</v>
      </c>
      <c r="I8" s="325">
        <f>H8</f>
        <v>1154.4000000000001</v>
      </c>
      <c r="J8" s="325">
        <f t="shared" si="3"/>
        <v>0</v>
      </c>
      <c r="K8" s="325">
        <v>1475.5</v>
      </c>
      <c r="L8" s="325">
        <f t="shared" si="4"/>
        <v>1475.5</v>
      </c>
      <c r="M8" s="325">
        <f t="shared" si="5"/>
        <v>0</v>
      </c>
      <c r="N8" s="325">
        <v>889.2</v>
      </c>
      <c r="O8" s="325">
        <f t="shared" si="6"/>
        <v>889.2</v>
      </c>
      <c r="P8" s="325">
        <f t="shared" si="7"/>
        <v>0</v>
      </c>
      <c r="Q8" s="325">
        <v>751.4</v>
      </c>
      <c r="R8" s="325">
        <f t="shared" si="8"/>
        <v>751.4</v>
      </c>
      <c r="S8" s="325">
        <f t="shared" si="9"/>
        <v>0</v>
      </c>
    </row>
    <row r="9" spans="1:19" x14ac:dyDescent="0.2">
      <c r="A9" s="55" t="s">
        <v>375</v>
      </c>
      <c r="B9" s="354">
        <v>0</v>
      </c>
      <c r="C9" s="354">
        <f t="shared" si="0"/>
        <v>0</v>
      </c>
      <c r="D9" s="354">
        <v>0</v>
      </c>
      <c r="E9" s="325">
        <v>0</v>
      </c>
      <c r="F9" s="325">
        <f>E9</f>
        <v>0</v>
      </c>
      <c r="G9" s="325">
        <f t="shared" si="2"/>
        <v>0</v>
      </c>
      <c r="H9" s="325">
        <v>0</v>
      </c>
      <c r="I9" s="325">
        <f>H9</f>
        <v>0</v>
      </c>
      <c r="J9" s="325">
        <f t="shared" si="3"/>
        <v>0</v>
      </c>
      <c r="K9" s="325">
        <v>0</v>
      </c>
      <c r="L9" s="325">
        <f t="shared" si="4"/>
        <v>0</v>
      </c>
      <c r="M9" s="325">
        <f t="shared" si="5"/>
        <v>0</v>
      </c>
      <c r="N9" s="325">
        <v>32.5</v>
      </c>
      <c r="O9" s="325">
        <f t="shared" si="6"/>
        <v>32.5</v>
      </c>
      <c r="P9" s="325">
        <f t="shared" si="7"/>
        <v>0</v>
      </c>
      <c r="Q9" s="325">
        <v>546</v>
      </c>
      <c r="R9" s="325">
        <f t="shared" si="8"/>
        <v>546</v>
      </c>
      <c r="S9" s="325">
        <f t="shared" si="9"/>
        <v>0</v>
      </c>
    </row>
    <row r="10" spans="1:19" x14ac:dyDescent="0.2">
      <c r="A10" s="55" t="s">
        <v>378</v>
      </c>
      <c r="B10" s="354">
        <v>0</v>
      </c>
      <c r="C10" s="354">
        <f t="shared" si="0"/>
        <v>0</v>
      </c>
      <c r="D10" s="354">
        <f t="shared" ref="D10:D25" si="10">B10-C10</f>
        <v>0</v>
      </c>
      <c r="E10" s="354">
        <v>0</v>
      </c>
      <c r="F10" s="354">
        <f>E10</f>
        <v>0</v>
      </c>
      <c r="G10" s="354">
        <f t="shared" si="2"/>
        <v>0</v>
      </c>
      <c r="H10" s="354">
        <v>0</v>
      </c>
      <c r="I10" s="354">
        <f>H10</f>
        <v>0</v>
      </c>
      <c r="J10" s="354">
        <f t="shared" si="3"/>
        <v>0</v>
      </c>
      <c r="K10" s="325">
        <v>143</v>
      </c>
      <c r="L10" s="325">
        <f t="shared" si="4"/>
        <v>143</v>
      </c>
      <c r="M10" s="325">
        <f t="shared" si="5"/>
        <v>0</v>
      </c>
      <c r="N10" s="325">
        <v>331.5</v>
      </c>
      <c r="O10" s="325">
        <f t="shared" si="6"/>
        <v>331.5</v>
      </c>
      <c r="P10" s="325">
        <f t="shared" si="7"/>
        <v>0</v>
      </c>
      <c r="Q10" s="325">
        <v>409.5</v>
      </c>
      <c r="R10" s="325">
        <f t="shared" si="8"/>
        <v>409.5</v>
      </c>
      <c r="S10" s="325">
        <f t="shared" si="9"/>
        <v>0</v>
      </c>
    </row>
    <row r="11" spans="1:19" x14ac:dyDescent="0.2">
      <c r="A11" s="55" t="s">
        <v>376</v>
      </c>
      <c r="B11" s="354">
        <v>0</v>
      </c>
      <c r="C11" s="354">
        <f t="shared" si="0"/>
        <v>0</v>
      </c>
      <c r="D11" s="354">
        <f t="shared" si="10"/>
        <v>0</v>
      </c>
      <c r="E11" s="354">
        <v>591.45000000000005</v>
      </c>
      <c r="F11" s="354">
        <v>583</v>
      </c>
      <c r="G11" s="354">
        <f t="shared" si="2"/>
        <v>8.4500000000000455</v>
      </c>
      <c r="H11" s="354">
        <v>1115.95</v>
      </c>
      <c r="I11" s="354">
        <v>1100</v>
      </c>
      <c r="J11" s="354">
        <f t="shared" si="3"/>
        <v>15.950000000000045</v>
      </c>
      <c r="K11" s="325">
        <v>0</v>
      </c>
      <c r="L11" s="325">
        <f t="shared" si="4"/>
        <v>0</v>
      </c>
      <c r="M11" s="325">
        <f t="shared" si="5"/>
        <v>0</v>
      </c>
      <c r="N11" s="325">
        <v>0</v>
      </c>
      <c r="O11" s="325">
        <f t="shared" si="6"/>
        <v>0</v>
      </c>
      <c r="P11" s="325">
        <f t="shared" si="7"/>
        <v>0</v>
      </c>
      <c r="Q11" s="325">
        <v>0</v>
      </c>
      <c r="R11" s="325">
        <f t="shared" si="8"/>
        <v>0</v>
      </c>
      <c r="S11" s="325">
        <f t="shared" si="9"/>
        <v>0</v>
      </c>
    </row>
    <row r="12" spans="1:19" x14ac:dyDescent="0.2">
      <c r="A12" s="55" t="s">
        <v>377</v>
      </c>
      <c r="B12" s="354">
        <v>95</v>
      </c>
      <c r="C12" s="354">
        <f t="shared" si="0"/>
        <v>95</v>
      </c>
      <c r="D12" s="354">
        <f t="shared" si="10"/>
        <v>0</v>
      </c>
      <c r="E12" s="325">
        <v>0</v>
      </c>
      <c r="F12" s="325">
        <f t="shared" ref="F12:F23" si="11">E12</f>
        <v>0</v>
      </c>
      <c r="G12" s="325">
        <f t="shared" si="2"/>
        <v>0</v>
      </c>
      <c r="H12" s="325">
        <v>0</v>
      </c>
      <c r="I12" s="325">
        <f t="shared" ref="I12:I22" si="12">H12</f>
        <v>0</v>
      </c>
      <c r="J12" s="325">
        <f t="shared" si="3"/>
        <v>0</v>
      </c>
      <c r="K12" s="325">
        <v>0</v>
      </c>
      <c r="L12" s="325">
        <f t="shared" si="4"/>
        <v>0</v>
      </c>
      <c r="M12" s="325">
        <f t="shared" si="5"/>
        <v>0</v>
      </c>
      <c r="N12" s="325">
        <v>0</v>
      </c>
      <c r="O12" s="325">
        <f t="shared" si="6"/>
        <v>0</v>
      </c>
      <c r="P12" s="325">
        <f t="shared" si="7"/>
        <v>0</v>
      </c>
      <c r="Q12" s="325">
        <v>0</v>
      </c>
      <c r="R12" s="325">
        <f t="shared" si="8"/>
        <v>0</v>
      </c>
      <c r="S12" s="325">
        <f t="shared" si="9"/>
        <v>0</v>
      </c>
    </row>
    <row r="13" spans="1:19" x14ac:dyDescent="0.2">
      <c r="A13" s="55" t="s">
        <v>379</v>
      </c>
      <c r="B13" s="354">
        <v>0</v>
      </c>
      <c r="C13" s="354">
        <f t="shared" si="0"/>
        <v>0</v>
      </c>
      <c r="D13" s="354">
        <f t="shared" si="10"/>
        <v>0</v>
      </c>
      <c r="E13" s="325">
        <v>0</v>
      </c>
      <c r="F13" s="325">
        <f t="shared" si="11"/>
        <v>0</v>
      </c>
      <c r="G13" s="325">
        <f t="shared" si="2"/>
        <v>0</v>
      </c>
      <c r="H13" s="325">
        <v>0</v>
      </c>
      <c r="I13" s="325">
        <f t="shared" si="12"/>
        <v>0</v>
      </c>
      <c r="J13" s="325">
        <f t="shared" si="3"/>
        <v>0</v>
      </c>
      <c r="K13" s="325">
        <v>0</v>
      </c>
      <c r="L13" s="325">
        <f t="shared" si="4"/>
        <v>0</v>
      </c>
      <c r="M13" s="325">
        <f t="shared" si="5"/>
        <v>0</v>
      </c>
      <c r="N13" s="325">
        <v>240</v>
      </c>
      <c r="O13" s="325">
        <f t="shared" si="6"/>
        <v>240</v>
      </c>
      <c r="P13" s="325">
        <f t="shared" si="7"/>
        <v>0</v>
      </c>
      <c r="Q13" s="325">
        <v>732</v>
      </c>
      <c r="R13" s="325">
        <f t="shared" si="8"/>
        <v>732</v>
      </c>
      <c r="S13" s="325">
        <f t="shared" si="9"/>
        <v>0</v>
      </c>
    </row>
    <row r="14" spans="1:19" x14ac:dyDescent="0.2">
      <c r="A14" s="55" t="s">
        <v>380</v>
      </c>
      <c r="B14" s="354">
        <v>0</v>
      </c>
      <c r="C14" s="354">
        <f t="shared" si="0"/>
        <v>0</v>
      </c>
      <c r="D14" s="354">
        <f t="shared" si="10"/>
        <v>0</v>
      </c>
      <c r="E14" s="325">
        <v>0</v>
      </c>
      <c r="F14" s="325">
        <f t="shared" si="11"/>
        <v>0</v>
      </c>
      <c r="G14" s="325">
        <f t="shared" si="2"/>
        <v>0</v>
      </c>
      <c r="H14" s="325">
        <v>0</v>
      </c>
      <c r="I14" s="325">
        <f t="shared" si="12"/>
        <v>0</v>
      </c>
      <c r="J14" s="325">
        <f t="shared" si="3"/>
        <v>0</v>
      </c>
      <c r="K14" s="325">
        <v>204</v>
      </c>
      <c r="L14" s="325">
        <f t="shared" si="4"/>
        <v>204</v>
      </c>
      <c r="M14" s="325">
        <f t="shared" si="5"/>
        <v>0</v>
      </c>
      <c r="N14" s="325">
        <v>910</v>
      </c>
      <c r="O14" s="325">
        <f t="shared" si="6"/>
        <v>910</v>
      </c>
      <c r="P14" s="325">
        <f t="shared" si="7"/>
        <v>0</v>
      </c>
      <c r="Q14" s="325">
        <v>494</v>
      </c>
      <c r="R14" s="325">
        <f t="shared" si="8"/>
        <v>494</v>
      </c>
      <c r="S14" s="325">
        <f t="shared" si="9"/>
        <v>0</v>
      </c>
    </row>
    <row r="15" spans="1:19" x14ac:dyDescent="0.2">
      <c r="A15" s="55" t="s">
        <v>381</v>
      </c>
      <c r="B15" s="354">
        <v>149.5</v>
      </c>
      <c r="C15" s="354">
        <f t="shared" si="0"/>
        <v>149.5</v>
      </c>
      <c r="D15" s="354">
        <f t="shared" si="10"/>
        <v>0</v>
      </c>
      <c r="E15" s="325">
        <v>0</v>
      </c>
      <c r="F15" s="325">
        <f t="shared" si="11"/>
        <v>0</v>
      </c>
      <c r="G15" s="325">
        <f t="shared" si="2"/>
        <v>0</v>
      </c>
      <c r="H15" s="325">
        <v>0</v>
      </c>
      <c r="I15" s="325">
        <f t="shared" si="12"/>
        <v>0</v>
      </c>
      <c r="J15" s="325">
        <f t="shared" si="3"/>
        <v>0</v>
      </c>
      <c r="K15" s="325">
        <v>624</v>
      </c>
      <c r="L15" s="325">
        <f t="shared" si="4"/>
        <v>624</v>
      </c>
      <c r="M15" s="325">
        <f t="shared" si="5"/>
        <v>0</v>
      </c>
      <c r="N15" s="325">
        <v>877.5</v>
      </c>
      <c r="O15" s="325">
        <f t="shared" si="6"/>
        <v>877.5</v>
      </c>
      <c r="P15" s="325">
        <f t="shared" si="7"/>
        <v>0</v>
      </c>
      <c r="Q15" s="325">
        <v>741</v>
      </c>
      <c r="R15" s="325">
        <f t="shared" si="8"/>
        <v>741</v>
      </c>
      <c r="S15" s="325">
        <f t="shared" si="9"/>
        <v>0</v>
      </c>
    </row>
    <row r="16" spans="1:19" x14ac:dyDescent="0.2">
      <c r="A16" s="55" t="s">
        <v>382</v>
      </c>
      <c r="B16" s="354">
        <v>148.5</v>
      </c>
      <c r="C16" s="354">
        <f t="shared" si="0"/>
        <v>148.5</v>
      </c>
      <c r="D16" s="354">
        <f t="shared" si="10"/>
        <v>0</v>
      </c>
      <c r="E16" s="325">
        <v>0</v>
      </c>
      <c r="F16" s="325">
        <f t="shared" si="11"/>
        <v>0</v>
      </c>
      <c r="G16" s="325">
        <f t="shared" si="2"/>
        <v>0</v>
      </c>
      <c r="H16" s="325">
        <v>0</v>
      </c>
      <c r="I16" s="325">
        <f t="shared" si="12"/>
        <v>0</v>
      </c>
      <c r="J16" s="325">
        <f t="shared" si="3"/>
        <v>0</v>
      </c>
      <c r="K16" s="325">
        <v>0</v>
      </c>
      <c r="L16" s="325">
        <f t="shared" si="4"/>
        <v>0</v>
      </c>
      <c r="M16" s="325">
        <f t="shared" si="5"/>
        <v>0</v>
      </c>
      <c r="N16" s="325">
        <v>0</v>
      </c>
      <c r="O16" s="325">
        <f t="shared" si="6"/>
        <v>0</v>
      </c>
      <c r="P16" s="325">
        <f t="shared" si="7"/>
        <v>0</v>
      </c>
      <c r="Q16" s="325">
        <v>0</v>
      </c>
      <c r="R16" s="325">
        <f t="shared" si="8"/>
        <v>0</v>
      </c>
      <c r="S16" s="325">
        <f t="shared" si="9"/>
        <v>0</v>
      </c>
    </row>
    <row r="17" spans="1:19" x14ac:dyDescent="0.2">
      <c r="A17" s="55" t="s">
        <v>383</v>
      </c>
      <c r="B17" s="354">
        <v>66</v>
      </c>
      <c r="C17" s="354">
        <f t="shared" si="0"/>
        <v>66</v>
      </c>
      <c r="D17" s="354">
        <f t="shared" si="10"/>
        <v>0</v>
      </c>
      <c r="E17" s="325">
        <v>0</v>
      </c>
      <c r="F17" s="325">
        <f t="shared" si="11"/>
        <v>0</v>
      </c>
      <c r="G17" s="325">
        <f t="shared" si="2"/>
        <v>0</v>
      </c>
      <c r="H17" s="325">
        <v>0</v>
      </c>
      <c r="I17" s="325">
        <f t="shared" si="12"/>
        <v>0</v>
      </c>
      <c r="J17" s="325">
        <f t="shared" si="3"/>
        <v>0</v>
      </c>
      <c r="K17" s="325">
        <v>66</v>
      </c>
      <c r="L17" s="325">
        <f t="shared" si="4"/>
        <v>66</v>
      </c>
      <c r="M17" s="325">
        <f t="shared" si="5"/>
        <v>0</v>
      </c>
      <c r="N17" s="325">
        <v>564.29999999999995</v>
      </c>
      <c r="O17" s="325">
        <f t="shared" si="6"/>
        <v>564.29999999999995</v>
      </c>
      <c r="P17" s="325">
        <f t="shared" si="7"/>
        <v>0</v>
      </c>
      <c r="Q17" s="325">
        <v>444.4</v>
      </c>
      <c r="R17" s="325">
        <f t="shared" si="8"/>
        <v>444.4</v>
      </c>
      <c r="S17" s="325">
        <f t="shared" si="9"/>
        <v>0</v>
      </c>
    </row>
    <row r="18" spans="1:19" x14ac:dyDescent="0.2">
      <c r="A18" s="55" t="s">
        <v>384</v>
      </c>
      <c r="B18" s="354">
        <v>0</v>
      </c>
      <c r="C18" s="354">
        <f t="shared" si="0"/>
        <v>0</v>
      </c>
      <c r="D18" s="354">
        <f t="shared" si="10"/>
        <v>0</v>
      </c>
      <c r="E18" s="325">
        <v>0</v>
      </c>
      <c r="F18" s="325">
        <f t="shared" si="11"/>
        <v>0</v>
      </c>
      <c r="G18" s="325">
        <f t="shared" si="2"/>
        <v>0</v>
      </c>
      <c r="H18" s="325">
        <v>0</v>
      </c>
      <c r="I18" s="325">
        <f t="shared" si="12"/>
        <v>0</v>
      </c>
      <c r="J18" s="325">
        <f t="shared" si="3"/>
        <v>0</v>
      </c>
      <c r="K18" s="325">
        <v>0</v>
      </c>
      <c r="L18" s="325">
        <f t="shared" si="4"/>
        <v>0</v>
      </c>
      <c r="M18" s="325">
        <f t="shared" si="5"/>
        <v>0</v>
      </c>
      <c r="N18" s="325">
        <v>437.8</v>
      </c>
      <c r="O18" s="325">
        <f t="shared" si="6"/>
        <v>437.8</v>
      </c>
      <c r="P18" s="325">
        <f t="shared" si="7"/>
        <v>0</v>
      </c>
      <c r="Q18" s="325">
        <v>331.1</v>
      </c>
      <c r="R18" s="325">
        <f t="shared" si="8"/>
        <v>331.1</v>
      </c>
      <c r="S18" s="325">
        <f t="shared" si="9"/>
        <v>0</v>
      </c>
    </row>
    <row r="19" spans="1:19" x14ac:dyDescent="0.2">
      <c r="A19" s="55" t="s">
        <v>385</v>
      </c>
      <c r="B19" s="354">
        <v>0</v>
      </c>
      <c r="C19" s="354">
        <f t="shared" si="0"/>
        <v>0</v>
      </c>
      <c r="D19" s="354">
        <f t="shared" si="10"/>
        <v>0</v>
      </c>
      <c r="E19" s="354">
        <v>0</v>
      </c>
      <c r="F19" s="354">
        <f t="shared" si="11"/>
        <v>0</v>
      </c>
      <c r="G19" s="354">
        <f t="shared" si="2"/>
        <v>0</v>
      </c>
      <c r="H19" s="354">
        <v>0</v>
      </c>
      <c r="I19" s="354">
        <f t="shared" si="12"/>
        <v>0</v>
      </c>
      <c r="J19" s="354">
        <f t="shared" si="3"/>
        <v>0</v>
      </c>
      <c r="K19" s="354">
        <v>0</v>
      </c>
      <c r="L19" s="354">
        <f t="shared" si="4"/>
        <v>0</v>
      </c>
      <c r="M19" s="354">
        <f t="shared" si="5"/>
        <v>0</v>
      </c>
      <c r="N19" s="325">
        <v>0</v>
      </c>
      <c r="O19" s="325">
        <f t="shared" si="6"/>
        <v>0</v>
      </c>
      <c r="P19" s="325">
        <f t="shared" si="7"/>
        <v>0</v>
      </c>
      <c r="Q19" s="325">
        <v>0</v>
      </c>
      <c r="R19" s="325">
        <f t="shared" si="8"/>
        <v>0</v>
      </c>
      <c r="S19" s="325">
        <f t="shared" si="9"/>
        <v>0</v>
      </c>
    </row>
    <row r="20" spans="1:19" x14ac:dyDescent="0.2">
      <c r="A20" s="55" t="s">
        <v>386</v>
      </c>
      <c r="B20" s="354">
        <v>66</v>
      </c>
      <c r="C20" s="354">
        <f t="shared" si="0"/>
        <v>66</v>
      </c>
      <c r="D20" s="354">
        <f t="shared" si="10"/>
        <v>0</v>
      </c>
      <c r="E20" s="325">
        <v>0</v>
      </c>
      <c r="F20" s="325">
        <f t="shared" si="11"/>
        <v>0</v>
      </c>
      <c r="G20" s="325">
        <f t="shared" si="2"/>
        <v>0</v>
      </c>
      <c r="H20" s="325">
        <v>0</v>
      </c>
      <c r="I20" s="325">
        <f t="shared" si="12"/>
        <v>0</v>
      </c>
      <c r="J20" s="325">
        <f t="shared" si="3"/>
        <v>0</v>
      </c>
      <c r="K20" s="325">
        <v>0</v>
      </c>
      <c r="L20" s="325">
        <f t="shared" si="4"/>
        <v>0</v>
      </c>
      <c r="M20" s="325">
        <f t="shared" si="5"/>
        <v>0</v>
      </c>
      <c r="N20" s="325">
        <v>0</v>
      </c>
      <c r="O20" s="325">
        <f t="shared" si="6"/>
        <v>0</v>
      </c>
      <c r="P20" s="325">
        <f t="shared" si="7"/>
        <v>0</v>
      </c>
      <c r="Q20" s="325">
        <v>0</v>
      </c>
      <c r="R20" s="325">
        <f t="shared" si="8"/>
        <v>0</v>
      </c>
      <c r="S20" s="325">
        <f t="shared" si="9"/>
        <v>0</v>
      </c>
    </row>
    <row r="21" spans="1:19" x14ac:dyDescent="0.2">
      <c r="A21" s="55" t="s">
        <v>387</v>
      </c>
      <c r="B21" s="354">
        <v>22</v>
      </c>
      <c r="C21" s="354">
        <f t="shared" si="0"/>
        <v>22</v>
      </c>
      <c r="D21" s="354">
        <f t="shared" si="10"/>
        <v>0</v>
      </c>
      <c r="E21" s="325">
        <v>0</v>
      </c>
      <c r="F21" s="325">
        <f t="shared" si="11"/>
        <v>0</v>
      </c>
      <c r="G21" s="325">
        <f t="shared" si="2"/>
        <v>0</v>
      </c>
      <c r="H21" s="325">
        <v>0</v>
      </c>
      <c r="I21" s="325">
        <f t="shared" si="12"/>
        <v>0</v>
      </c>
      <c r="J21" s="325">
        <f t="shared" si="3"/>
        <v>0</v>
      </c>
      <c r="K21" s="325">
        <v>33</v>
      </c>
      <c r="L21" s="325">
        <f t="shared" si="4"/>
        <v>33</v>
      </c>
      <c r="M21" s="325">
        <f t="shared" si="5"/>
        <v>0</v>
      </c>
      <c r="N21" s="325">
        <v>621.5</v>
      </c>
      <c r="O21" s="325">
        <f t="shared" si="6"/>
        <v>621.5</v>
      </c>
      <c r="P21" s="325">
        <f t="shared" si="7"/>
        <v>0</v>
      </c>
      <c r="Q21" s="325">
        <v>473</v>
      </c>
      <c r="R21" s="325">
        <f t="shared" si="8"/>
        <v>473</v>
      </c>
      <c r="S21" s="325">
        <f t="shared" si="9"/>
        <v>0</v>
      </c>
    </row>
    <row r="22" spans="1:19" x14ac:dyDescent="0.2">
      <c r="A22" s="55" t="s">
        <v>388</v>
      </c>
      <c r="B22" s="354">
        <v>0</v>
      </c>
      <c r="C22" s="354">
        <f t="shared" si="0"/>
        <v>0</v>
      </c>
      <c r="D22" s="354">
        <f t="shared" si="10"/>
        <v>0</v>
      </c>
      <c r="E22" s="325">
        <v>0</v>
      </c>
      <c r="F22" s="325">
        <f t="shared" si="11"/>
        <v>0</v>
      </c>
      <c r="G22" s="325">
        <f t="shared" si="2"/>
        <v>0</v>
      </c>
      <c r="H22" s="325">
        <v>0</v>
      </c>
      <c r="I22" s="325">
        <f t="shared" si="12"/>
        <v>0</v>
      </c>
      <c r="J22" s="325">
        <f t="shared" si="3"/>
        <v>0</v>
      </c>
      <c r="K22" s="325">
        <v>0</v>
      </c>
      <c r="L22" s="325">
        <f t="shared" si="4"/>
        <v>0</v>
      </c>
      <c r="M22" s="325">
        <f t="shared" si="5"/>
        <v>0</v>
      </c>
      <c r="N22" s="325">
        <v>216</v>
      </c>
      <c r="O22" s="325">
        <f t="shared" si="6"/>
        <v>216</v>
      </c>
      <c r="P22" s="325">
        <f t="shared" si="7"/>
        <v>0</v>
      </c>
      <c r="Q22" s="325">
        <v>240</v>
      </c>
      <c r="R22" s="325">
        <f t="shared" si="8"/>
        <v>240</v>
      </c>
      <c r="S22" s="325">
        <f t="shared" si="9"/>
        <v>0</v>
      </c>
    </row>
    <row r="23" spans="1:19" x14ac:dyDescent="0.2">
      <c r="A23" s="55" t="s">
        <v>389</v>
      </c>
      <c r="B23" s="354">
        <v>0</v>
      </c>
      <c r="C23" s="354">
        <f t="shared" si="0"/>
        <v>0</v>
      </c>
      <c r="D23" s="354">
        <f t="shared" si="10"/>
        <v>0</v>
      </c>
      <c r="E23" s="325">
        <v>0</v>
      </c>
      <c r="F23" s="325">
        <f t="shared" si="11"/>
        <v>0</v>
      </c>
      <c r="G23" s="325">
        <f t="shared" si="2"/>
        <v>0</v>
      </c>
      <c r="H23" s="325">
        <v>803.48</v>
      </c>
      <c r="I23" s="325">
        <v>792</v>
      </c>
      <c r="J23" s="325">
        <f t="shared" si="3"/>
        <v>11.480000000000018</v>
      </c>
      <c r="K23" s="325">
        <v>1309</v>
      </c>
      <c r="L23" s="325">
        <f t="shared" si="4"/>
        <v>1309</v>
      </c>
      <c r="M23" s="325">
        <f t="shared" si="5"/>
        <v>0</v>
      </c>
      <c r="N23" s="325">
        <v>0</v>
      </c>
      <c r="O23" s="325">
        <f t="shared" si="6"/>
        <v>0</v>
      </c>
      <c r="P23" s="325">
        <f t="shared" si="7"/>
        <v>0</v>
      </c>
      <c r="Q23" s="325">
        <v>0</v>
      </c>
      <c r="R23" s="325">
        <f t="shared" si="8"/>
        <v>0</v>
      </c>
      <c r="S23" s="325">
        <f t="shared" si="9"/>
        <v>0</v>
      </c>
    </row>
    <row r="24" spans="1:19" x14ac:dyDescent="0.2">
      <c r="A24" s="55" t="s">
        <v>390</v>
      </c>
      <c r="B24" s="354">
        <v>1163.5</v>
      </c>
      <c r="C24" s="354">
        <f t="shared" si="0"/>
        <v>1163.5</v>
      </c>
      <c r="D24" s="354">
        <f t="shared" si="10"/>
        <v>0</v>
      </c>
      <c r="E24" s="325">
        <v>1008.92</v>
      </c>
      <c r="F24" s="325">
        <v>994.5</v>
      </c>
      <c r="G24" s="325">
        <f t="shared" si="2"/>
        <v>14.419999999999959</v>
      </c>
      <c r="H24" s="325">
        <v>850.66</v>
      </c>
      <c r="I24" s="325">
        <v>838.5</v>
      </c>
      <c r="J24" s="325">
        <f t="shared" si="3"/>
        <v>12.159999999999968</v>
      </c>
      <c r="K24" s="325">
        <v>676</v>
      </c>
      <c r="L24" s="325">
        <f t="shared" si="4"/>
        <v>676</v>
      </c>
      <c r="M24" s="325">
        <f t="shared" si="5"/>
        <v>0</v>
      </c>
      <c r="N24" s="325">
        <v>598</v>
      </c>
      <c r="O24" s="325">
        <f t="shared" si="6"/>
        <v>598</v>
      </c>
      <c r="P24" s="325">
        <f t="shared" si="7"/>
        <v>0</v>
      </c>
      <c r="Q24" s="325">
        <v>429</v>
      </c>
      <c r="R24" s="325">
        <f t="shared" si="8"/>
        <v>429</v>
      </c>
      <c r="S24" s="325">
        <f t="shared" si="9"/>
        <v>0</v>
      </c>
    </row>
    <row r="25" spans="1:19" x14ac:dyDescent="0.2">
      <c r="A25" s="55" t="s">
        <v>391</v>
      </c>
      <c r="B25" s="354">
        <v>0</v>
      </c>
      <c r="C25" s="354">
        <f t="shared" si="0"/>
        <v>0</v>
      </c>
      <c r="D25" s="354">
        <f t="shared" si="10"/>
        <v>0</v>
      </c>
      <c r="E25" s="325">
        <v>0</v>
      </c>
      <c r="F25" s="325">
        <f>E25</f>
        <v>0</v>
      </c>
      <c r="G25" s="325">
        <f t="shared" si="2"/>
        <v>0</v>
      </c>
      <c r="H25" s="325">
        <v>0</v>
      </c>
      <c r="I25" s="325">
        <f>H25</f>
        <v>0</v>
      </c>
      <c r="J25" s="325">
        <f t="shared" si="3"/>
        <v>0</v>
      </c>
      <c r="K25" s="325">
        <v>0</v>
      </c>
      <c r="L25" s="325">
        <f t="shared" si="4"/>
        <v>0</v>
      </c>
      <c r="M25" s="325">
        <f t="shared" si="5"/>
        <v>0</v>
      </c>
      <c r="N25" s="325">
        <v>445.5</v>
      </c>
      <c r="O25" s="325">
        <f t="shared" si="6"/>
        <v>445.5</v>
      </c>
      <c r="P25" s="325">
        <f t="shared" si="7"/>
        <v>0</v>
      </c>
      <c r="Q25" s="325">
        <v>258.5</v>
      </c>
      <c r="R25" s="325">
        <f t="shared" si="8"/>
        <v>258.5</v>
      </c>
      <c r="S25" s="325">
        <f t="shared" si="9"/>
        <v>0</v>
      </c>
    </row>
    <row r="26" spans="1:19" x14ac:dyDescent="0.2">
      <c r="A26" s="48" t="s">
        <v>34</v>
      </c>
      <c r="B26" s="355">
        <f t="shared" ref="B26:P26" si="13">SUM(B4:B25)</f>
        <v>2297</v>
      </c>
      <c r="C26" s="355">
        <f t="shared" si="13"/>
        <v>2297</v>
      </c>
      <c r="D26" s="355">
        <f t="shared" si="13"/>
        <v>0</v>
      </c>
      <c r="E26" s="355">
        <f t="shared" si="13"/>
        <v>2778.2</v>
      </c>
      <c r="F26" s="355">
        <f t="shared" si="13"/>
        <v>2751.5</v>
      </c>
      <c r="G26" s="355">
        <f t="shared" si="13"/>
        <v>26.699999999999989</v>
      </c>
      <c r="H26" s="355">
        <f t="shared" si="13"/>
        <v>4716.8100000000004</v>
      </c>
      <c r="I26" s="355">
        <f t="shared" si="13"/>
        <v>4665.8999999999996</v>
      </c>
      <c r="J26" s="355">
        <f t="shared" si="13"/>
        <v>50.910000000000082</v>
      </c>
      <c r="K26" s="355">
        <f t="shared" si="13"/>
        <v>4926.5</v>
      </c>
      <c r="L26" s="355">
        <f t="shared" si="13"/>
        <v>4926.5</v>
      </c>
      <c r="M26" s="355">
        <f t="shared" si="13"/>
        <v>0</v>
      </c>
      <c r="N26" s="355">
        <f t="shared" si="13"/>
        <v>7388.1</v>
      </c>
      <c r="O26" s="355">
        <f t="shared" si="13"/>
        <v>7388.1</v>
      </c>
      <c r="P26" s="355">
        <f t="shared" si="13"/>
        <v>0</v>
      </c>
      <c r="Q26" s="355">
        <f>SUM(Q3:Q25)</f>
        <v>6807.7</v>
      </c>
      <c r="R26" s="355">
        <f>SUM(R3:R25)</f>
        <v>6807.7</v>
      </c>
      <c r="S26" s="355">
        <f>SUM(S3:S25)</f>
        <v>0</v>
      </c>
    </row>
    <row r="27" spans="1:19" s="152" customFormat="1" x14ac:dyDescent="0.2">
      <c r="A27" s="337"/>
      <c r="B27" s="410" t="s">
        <v>130</v>
      </c>
      <c r="C27" s="410"/>
      <c r="D27" s="410"/>
      <c r="E27" s="392" t="s">
        <v>131</v>
      </c>
      <c r="F27" s="392"/>
      <c r="G27" s="392"/>
      <c r="H27" s="392" t="s">
        <v>132</v>
      </c>
      <c r="I27" s="392"/>
      <c r="J27" s="392"/>
      <c r="K27" s="392" t="s">
        <v>133</v>
      </c>
      <c r="L27" s="392"/>
      <c r="M27" s="392"/>
      <c r="N27" s="392" t="s">
        <v>15</v>
      </c>
      <c r="O27" s="392"/>
      <c r="P27" s="392"/>
      <c r="Q27" s="392" t="s">
        <v>134</v>
      </c>
      <c r="R27" s="392"/>
      <c r="S27" s="392"/>
    </row>
    <row r="28" spans="1:19" x14ac:dyDescent="0.2">
      <c r="A28" s="55"/>
      <c r="B28" s="354" t="s">
        <v>34</v>
      </c>
      <c r="C28" s="354" t="s">
        <v>31</v>
      </c>
      <c r="D28" s="354" t="s">
        <v>32</v>
      </c>
      <c r="E28" s="325" t="s">
        <v>34</v>
      </c>
      <c r="F28" s="325" t="s">
        <v>31</v>
      </c>
      <c r="G28" s="325" t="s">
        <v>32</v>
      </c>
      <c r="H28" s="325" t="s">
        <v>34</v>
      </c>
      <c r="I28" s="325" t="s">
        <v>31</v>
      </c>
      <c r="J28" s="325" t="s">
        <v>32</v>
      </c>
      <c r="K28" s="325" t="s">
        <v>34</v>
      </c>
      <c r="L28" s="325" t="s">
        <v>31</v>
      </c>
      <c r="M28" s="325" t="s">
        <v>32</v>
      </c>
      <c r="N28" s="325" t="s">
        <v>34</v>
      </c>
      <c r="O28" s="325" t="s">
        <v>31</v>
      </c>
      <c r="P28" s="325" t="s">
        <v>32</v>
      </c>
      <c r="Q28" s="325" t="s">
        <v>34</v>
      </c>
      <c r="R28" s="325" t="s">
        <v>31</v>
      </c>
      <c r="S28" s="325" t="s">
        <v>32</v>
      </c>
    </row>
    <row r="29" spans="1:19" x14ac:dyDescent="0.2">
      <c r="A29" s="55" t="s">
        <v>367</v>
      </c>
      <c r="B29" s="325">
        <v>48</v>
      </c>
      <c r="C29" s="325">
        <f t="shared" ref="C29:C43" si="14">B29</f>
        <v>48</v>
      </c>
      <c r="D29" s="325">
        <f t="shared" ref="D29:D43" si="15">B29-C29</f>
        <v>0</v>
      </c>
      <c r="E29" s="325">
        <v>48</v>
      </c>
      <c r="F29" s="325">
        <f t="shared" ref="F29:F43" si="16">E29</f>
        <v>48</v>
      </c>
      <c r="G29" s="325">
        <f t="shared" ref="G29:G43" si="17">E29-F29</f>
        <v>0</v>
      </c>
      <c r="H29" s="325">
        <v>252</v>
      </c>
      <c r="I29" s="325">
        <f t="shared" ref="I29:I43" si="18">H29</f>
        <v>252</v>
      </c>
      <c r="J29" s="325">
        <f t="shared" ref="J29:J43" si="19">H29-I29</f>
        <v>0</v>
      </c>
      <c r="K29" s="325">
        <v>0</v>
      </c>
      <c r="L29" s="325">
        <f t="shared" ref="L29:L43" si="20">K29</f>
        <v>0</v>
      </c>
      <c r="M29" s="325">
        <f t="shared" ref="M29:M43" si="21">K29-L29</f>
        <v>0</v>
      </c>
      <c r="N29" s="325">
        <v>48</v>
      </c>
      <c r="O29" s="325">
        <f t="shared" ref="O29:O43" si="22">N29</f>
        <v>48</v>
      </c>
      <c r="P29" s="325">
        <f t="shared" ref="P29:P43" si="23">N29-O29</f>
        <v>0</v>
      </c>
      <c r="Q29" s="325">
        <v>48</v>
      </c>
      <c r="R29" s="325">
        <f t="shared" ref="R29:R43" si="24">Q29</f>
        <v>48</v>
      </c>
      <c r="S29" s="325">
        <f t="shared" ref="S29:S43" si="25">Q29-R29</f>
        <v>0</v>
      </c>
    </row>
    <row r="30" spans="1:19" x14ac:dyDescent="0.2">
      <c r="A30" s="55" t="s">
        <v>368</v>
      </c>
      <c r="B30" s="325">
        <v>117.7</v>
      </c>
      <c r="C30" s="325">
        <f t="shared" si="14"/>
        <v>117.7</v>
      </c>
      <c r="D30" s="325">
        <f t="shared" si="15"/>
        <v>0</v>
      </c>
      <c r="E30" s="325">
        <v>380.6</v>
      </c>
      <c r="F30" s="325">
        <f t="shared" si="16"/>
        <v>380.6</v>
      </c>
      <c r="G30" s="325">
        <f t="shared" si="17"/>
        <v>0</v>
      </c>
      <c r="H30" s="325">
        <v>724.9</v>
      </c>
      <c r="I30" s="325">
        <f t="shared" si="18"/>
        <v>724.9</v>
      </c>
      <c r="J30" s="325">
        <f t="shared" si="19"/>
        <v>0</v>
      </c>
      <c r="K30" s="325">
        <v>360.8</v>
      </c>
      <c r="L30" s="325">
        <f t="shared" si="20"/>
        <v>360.8</v>
      </c>
      <c r="M30" s="325">
        <f t="shared" si="21"/>
        <v>0</v>
      </c>
      <c r="N30" s="325">
        <v>117.7</v>
      </c>
      <c r="O30" s="325">
        <f t="shared" si="22"/>
        <v>117.7</v>
      </c>
      <c r="P30" s="325">
        <f t="shared" si="23"/>
        <v>0</v>
      </c>
      <c r="Q30" s="325">
        <v>117.7</v>
      </c>
      <c r="R30" s="325">
        <f t="shared" si="24"/>
        <v>117.7</v>
      </c>
      <c r="S30" s="325">
        <f t="shared" si="25"/>
        <v>0</v>
      </c>
    </row>
    <row r="31" spans="1:19" x14ac:dyDescent="0.2">
      <c r="A31" s="55" t="s">
        <v>369</v>
      </c>
      <c r="B31" s="325">
        <v>240.9</v>
      </c>
      <c r="C31" s="325">
        <f t="shared" si="14"/>
        <v>240.9</v>
      </c>
      <c r="D31" s="325">
        <f t="shared" si="15"/>
        <v>0</v>
      </c>
      <c r="E31" s="325">
        <v>390.5</v>
      </c>
      <c r="F31" s="325">
        <f t="shared" si="16"/>
        <v>390.5</v>
      </c>
      <c r="G31" s="325">
        <f t="shared" si="17"/>
        <v>0</v>
      </c>
      <c r="H31" s="325">
        <v>640.20000000000005</v>
      </c>
      <c r="I31" s="325">
        <f t="shared" si="18"/>
        <v>640.20000000000005</v>
      </c>
      <c r="J31" s="325">
        <f t="shared" si="19"/>
        <v>0</v>
      </c>
      <c r="K31" s="325">
        <v>368.5</v>
      </c>
      <c r="L31" s="325">
        <f t="shared" si="20"/>
        <v>368.5</v>
      </c>
      <c r="M31" s="325">
        <f t="shared" si="21"/>
        <v>0</v>
      </c>
      <c r="N31" s="325">
        <v>240.9</v>
      </c>
      <c r="O31" s="325">
        <f t="shared" si="22"/>
        <v>240.9</v>
      </c>
      <c r="P31" s="325">
        <f t="shared" si="23"/>
        <v>0</v>
      </c>
      <c r="Q31" s="325">
        <v>240.9</v>
      </c>
      <c r="R31" s="325">
        <f t="shared" si="24"/>
        <v>240.9</v>
      </c>
      <c r="S31" s="325">
        <f t="shared" si="25"/>
        <v>0</v>
      </c>
    </row>
    <row r="32" spans="1:19" x14ac:dyDescent="0.2">
      <c r="A32" s="55" t="s">
        <v>370</v>
      </c>
      <c r="B32" s="325">
        <v>871</v>
      </c>
      <c r="C32" s="325">
        <f t="shared" si="14"/>
        <v>871</v>
      </c>
      <c r="D32" s="325">
        <f t="shared" si="15"/>
        <v>0</v>
      </c>
      <c r="E32" s="325">
        <v>871</v>
      </c>
      <c r="F32" s="325">
        <f t="shared" si="16"/>
        <v>871</v>
      </c>
      <c r="G32" s="325">
        <f t="shared" si="17"/>
        <v>0</v>
      </c>
      <c r="H32" s="325">
        <v>767</v>
      </c>
      <c r="I32" s="325">
        <f t="shared" si="18"/>
        <v>767</v>
      </c>
      <c r="J32" s="325">
        <f t="shared" si="19"/>
        <v>0</v>
      </c>
      <c r="K32" s="325">
        <v>858</v>
      </c>
      <c r="L32" s="325">
        <f t="shared" si="20"/>
        <v>858</v>
      </c>
      <c r="M32" s="325">
        <f t="shared" si="21"/>
        <v>0</v>
      </c>
      <c r="N32" s="325">
        <v>871</v>
      </c>
      <c r="O32" s="325">
        <f t="shared" si="22"/>
        <v>871</v>
      </c>
      <c r="P32" s="325">
        <f t="shared" si="23"/>
        <v>0</v>
      </c>
      <c r="Q32" s="325">
        <v>871</v>
      </c>
      <c r="R32" s="325">
        <f t="shared" si="24"/>
        <v>871</v>
      </c>
      <c r="S32" s="325">
        <f t="shared" si="25"/>
        <v>0</v>
      </c>
    </row>
    <row r="33" spans="1:19" x14ac:dyDescent="0.2">
      <c r="A33" s="55" t="s">
        <v>371</v>
      </c>
      <c r="B33" s="325">
        <v>624</v>
      </c>
      <c r="C33" s="325">
        <f t="shared" si="14"/>
        <v>624</v>
      </c>
      <c r="D33" s="325">
        <f t="shared" si="15"/>
        <v>0</v>
      </c>
      <c r="E33" s="325">
        <v>1124.5</v>
      </c>
      <c r="F33" s="325">
        <f t="shared" si="16"/>
        <v>1124.5</v>
      </c>
      <c r="G33" s="325">
        <f t="shared" si="17"/>
        <v>0</v>
      </c>
      <c r="H33" s="325">
        <v>1069.9000000000001</v>
      </c>
      <c r="I33" s="325">
        <f t="shared" si="18"/>
        <v>1069.9000000000001</v>
      </c>
      <c r="J33" s="325">
        <f t="shared" si="19"/>
        <v>0</v>
      </c>
      <c r="K33" s="325">
        <v>1287</v>
      </c>
      <c r="L33" s="325">
        <f t="shared" si="20"/>
        <v>1287</v>
      </c>
      <c r="M33" s="325">
        <f t="shared" si="21"/>
        <v>0</v>
      </c>
      <c r="N33" s="325">
        <v>624</v>
      </c>
      <c r="O33" s="325">
        <f t="shared" si="22"/>
        <v>624</v>
      </c>
      <c r="P33" s="325">
        <f t="shared" si="23"/>
        <v>0</v>
      </c>
      <c r="Q33" s="325">
        <v>624</v>
      </c>
      <c r="R33" s="325">
        <f t="shared" si="24"/>
        <v>624</v>
      </c>
      <c r="S33" s="325">
        <f t="shared" si="25"/>
        <v>0</v>
      </c>
    </row>
    <row r="34" spans="1:19" x14ac:dyDescent="0.2">
      <c r="A34" s="55" t="s">
        <v>374</v>
      </c>
      <c r="B34" s="325">
        <v>260</v>
      </c>
      <c r="C34" s="325">
        <f t="shared" si="14"/>
        <v>260</v>
      </c>
      <c r="D34" s="325">
        <f t="shared" si="15"/>
        <v>0</v>
      </c>
      <c r="E34" s="325">
        <v>435.5</v>
      </c>
      <c r="F34" s="325">
        <f t="shared" si="16"/>
        <v>435.5</v>
      </c>
      <c r="G34" s="325">
        <f t="shared" si="17"/>
        <v>0</v>
      </c>
      <c r="H34" s="325">
        <v>507</v>
      </c>
      <c r="I34" s="325">
        <f t="shared" si="18"/>
        <v>507</v>
      </c>
      <c r="J34" s="325">
        <f t="shared" si="19"/>
        <v>0</v>
      </c>
      <c r="K34" s="325">
        <v>247</v>
      </c>
      <c r="L34" s="325">
        <f t="shared" si="20"/>
        <v>247</v>
      </c>
      <c r="M34" s="325">
        <f t="shared" si="21"/>
        <v>0</v>
      </c>
      <c r="N34" s="325">
        <v>260</v>
      </c>
      <c r="O34" s="325">
        <f t="shared" si="22"/>
        <v>260</v>
      </c>
      <c r="P34" s="325">
        <f t="shared" si="23"/>
        <v>0</v>
      </c>
      <c r="Q34" s="325">
        <v>260</v>
      </c>
      <c r="R34" s="325">
        <f t="shared" si="24"/>
        <v>260</v>
      </c>
      <c r="S34" s="325">
        <f t="shared" si="25"/>
        <v>0</v>
      </c>
    </row>
    <row r="35" spans="1:19" x14ac:dyDescent="0.2">
      <c r="A35" s="55" t="s">
        <v>375</v>
      </c>
      <c r="B35" s="325">
        <v>444</v>
      </c>
      <c r="C35" s="325">
        <f t="shared" si="14"/>
        <v>444</v>
      </c>
      <c r="D35" s="325">
        <f t="shared" si="15"/>
        <v>0</v>
      </c>
      <c r="E35" s="325">
        <v>300</v>
      </c>
      <c r="F35" s="325">
        <f t="shared" si="16"/>
        <v>300</v>
      </c>
      <c r="G35" s="325">
        <f t="shared" si="17"/>
        <v>0</v>
      </c>
      <c r="H35" s="325">
        <v>240</v>
      </c>
      <c r="I35" s="325">
        <f t="shared" si="18"/>
        <v>240</v>
      </c>
      <c r="J35" s="325">
        <f t="shared" si="19"/>
        <v>0</v>
      </c>
      <c r="K35" s="325">
        <v>240</v>
      </c>
      <c r="L35" s="325">
        <f t="shared" si="20"/>
        <v>240</v>
      </c>
      <c r="M35" s="325">
        <f t="shared" si="21"/>
        <v>0</v>
      </c>
      <c r="N35" s="325">
        <v>444</v>
      </c>
      <c r="O35" s="325">
        <f t="shared" si="22"/>
        <v>444</v>
      </c>
      <c r="P35" s="325">
        <f t="shared" si="23"/>
        <v>0</v>
      </c>
      <c r="Q35" s="325">
        <v>444</v>
      </c>
      <c r="R35" s="325">
        <f t="shared" si="24"/>
        <v>444</v>
      </c>
      <c r="S35" s="325">
        <f t="shared" si="25"/>
        <v>0</v>
      </c>
    </row>
    <row r="36" spans="1:19" x14ac:dyDescent="0.2">
      <c r="A36" s="55" t="s">
        <v>378</v>
      </c>
      <c r="B36" s="325">
        <v>338</v>
      </c>
      <c r="C36" s="325">
        <f t="shared" si="14"/>
        <v>338</v>
      </c>
      <c r="D36" s="325">
        <f t="shared" si="15"/>
        <v>0</v>
      </c>
      <c r="E36" s="325">
        <v>578.5</v>
      </c>
      <c r="F36" s="325">
        <f t="shared" si="16"/>
        <v>578.5</v>
      </c>
      <c r="G36" s="325">
        <f t="shared" si="17"/>
        <v>0</v>
      </c>
      <c r="H36" s="325">
        <v>845</v>
      </c>
      <c r="I36" s="325">
        <f t="shared" si="18"/>
        <v>845</v>
      </c>
      <c r="J36" s="325">
        <f t="shared" si="19"/>
        <v>0</v>
      </c>
      <c r="K36" s="325">
        <v>552.5</v>
      </c>
      <c r="L36" s="325">
        <f t="shared" si="20"/>
        <v>552.5</v>
      </c>
      <c r="M36" s="325">
        <f t="shared" si="21"/>
        <v>0</v>
      </c>
      <c r="N36" s="325">
        <v>338</v>
      </c>
      <c r="O36" s="325">
        <f t="shared" si="22"/>
        <v>338</v>
      </c>
      <c r="P36" s="325">
        <f t="shared" si="23"/>
        <v>0</v>
      </c>
      <c r="Q36" s="325">
        <v>338</v>
      </c>
      <c r="R36" s="325">
        <f t="shared" si="24"/>
        <v>338</v>
      </c>
      <c r="S36" s="325">
        <f t="shared" si="25"/>
        <v>0</v>
      </c>
    </row>
    <row r="37" spans="1:19" x14ac:dyDescent="0.2">
      <c r="A37" s="55" t="s">
        <v>376</v>
      </c>
      <c r="B37" s="325">
        <v>669.5</v>
      </c>
      <c r="C37" s="325">
        <f t="shared" si="14"/>
        <v>669.5</v>
      </c>
      <c r="D37" s="325">
        <f t="shared" si="15"/>
        <v>0</v>
      </c>
      <c r="E37" s="325">
        <v>929.5</v>
      </c>
      <c r="F37" s="325">
        <f t="shared" si="16"/>
        <v>929.5</v>
      </c>
      <c r="G37" s="325">
        <f t="shared" si="17"/>
        <v>0</v>
      </c>
      <c r="H37" s="325">
        <v>884</v>
      </c>
      <c r="I37" s="325">
        <f t="shared" si="18"/>
        <v>884</v>
      </c>
      <c r="J37" s="325">
        <f t="shared" si="19"/>
        <v>0</v>
      </c>
      <c r="K37" s="325">
        <v>721.5</v>
      </c>
      <c r="L37" s="325">
        <f t="shared" si="20"/>
        <v>721.5</v>
      </c>
      <c r="M37" s="325">
        <f t="shared" si="21"/>
        <v>0</v>
      </c>
      <c r="N37" s="325">
        <v>669.5</v>
      </c>
      <c r="O37" s="325">
        <f t="shared" si="22"/>
        <v>669.5</v>
      </c>
      <c r="P37" s="325">
        <f t="shared" si="23"/>
        <v>0</v>
      </c>
      <c r="Q37" s="325">
        <v>669.5</v>
      </c>
      <c r="R37" s="325">
        <f t="shared" si="24"/>
        <v>669.5</v>
      </c>
      <c r="S37" s="325">
        <f t="shared" si="25"/>
        <v>0</v>
      </c>
    </row>
    <row r="38" spans="1:19" x14ac:dyDescent="0.2">
      <c r="A38" s="55" t="s">
        <v>377</v>
      </c>
      <c r="B38" s="325">
        <v>347.6</v>
      </c>
      <c r="C38" s="325">
        <f t="shared" si="14"/>
        <v>347.6</v>
      </c>
      <c r="D38" s="325">
        <f t="shared" si="15"/>
        <v>0</v>
      </c>
      <c r="E38" s="325">
        <v>401.5</v>
      </c>
      <c r="F38" s="325">
        <f t="shared" si="16"/>
        <v>401.5</v>
      </c>
      <c r="G38" s="325">
        <f t="shared" si="17"/>
        <v>0</v>
      </c>
      <c r="H38" s="325">
        <v>578.6</v>
      </c>
      <c r="I38" s="325">
        <f t="shared" si="18"/>
        <v>578.6</v>
      </c>
      <c r="J38" s="325">
        <f t="shared" si="19"/>
        <v>0</v>
      </c>
      <c r="K38" s="325">
        <v>564.29999999999995</v>
      </c>
      <c r="L38" s="325">
        <f t="shared" si="20"/>
        <v>564.29999999999995</v>
      </c>
      <c r="M38" s="325">
        <f t="shared" si="21"/>
        <v>0</v>
      </c>
      <c r="N38" s="325">
        <v>347.6</v>
      </c>
      <c r="O38" s="325">
        <f t="shared" si="22"/>
        <v>347.6</v>
      </c>
      <c r="P38" s="325">
        <f t="shared" si="23"/>
        <v>0</v>
      </c>
      <c r="Q38" s="325">
        <v>347.6</v>
      </c>
      <c r="R38" s="325">
        <f t="shared" si="24"/>
        <v>347.6</v>
      </c>
      <c r="S38" s="325">
        <f t="shared" si="25"/>
        <v>0</v>
      </c>
    </row>
    <row r="39" spans="1:19" x14ac:dyDescent="0.2">
      <c r="A39" s="55" t="s">
        <v>379</v>
      </c>
      <c r="B39" s="325">
        <v>123.2</v>
      </c>
      <c r="C39" s="325">
        <f t="shared" si="14"/>
        <v>123.2</v>
      </c>
      <c r="D39" s="325">
        <f t="shared" si="15"/>
        <v>0</v>
      </c>
      <c r="E39" s="325">
        <v>0</v>
      </c>
      <c r="F39" s="325">
        <f t="shared" si="16"/>
        <v>0</v>
      </c>
      <c r="G39" s="325">
        <f t="shared" si="17"/>
        <v>0</v>
      </c>
      <c r="H39" s="325">
        <v>0</v>
      </c>
      <c r="I39" s="325">
        <f t="shared" si="18"/>
        <v>0</v>
      </c>
      <c r="J39" s="325">
        <f t="shared" si="19"/>
        <v>0</v>
      </c>
      <c r="K39" s="325">
        <v>0</v>
      </c>
      <c r="L39" s="325">
        <f t="shared" si="20"/>
        <v>0</v>
      </c>
      <c r="M39" s="325">
        <f t="shared" si="21"/>
        <v>0</v>
      </c>
      <c r="N39" s="325">
        <v>0</v>
      </c>
      <c r="O39" s="325">
        <f t="shared" si="22"/>
        <v>0</v>
      </c>
      <c r="P39" s="325">
        <f t="shared" si="23"/>
        <v>0</v>
      </c>
      <c r="Q39" s="325">
        <v>0</v>
      </c>
      <c r="R39" s="325">
        <f t="shared" si="24"/>
        <v>0</v>
      </c>
      <c r="S39" s="325">
        <f t="shared" si="25"/>
        <v>0</v>
      </c>
    </row>
    <row r="40" spans="1:19" x14ac:dyDescent="0.2">
      <c r="A40" s="55" t="s">
        <v>380</v>
      </c>
      <c r="B40" s="325">
        <v>176</v>
      </c>
      <c r="C40" s="325">
        <f t="shared" si="14"/>
        <v>176</v>
      </c>
      <c r="D40" s="325">
        <f t="shared" si="15"/>
        <v>0</v>
      </c>
      <c r="E40" s="325">
        <v>231</v>
      </c>
      <c r="F40" s="325">
        <f t="shared" si="16"/>
        <v>231</v>
      </c>
      <c r="G40" s="325">
        <f t="shared" si="17"/>
        <v>0</v>
      </c>
      <c r="H40" s="325">
        <v>352</v>
      </c>
      <c r="I40" s="325">
        <f t="shared" si="18"/>
        <v>352</v>
      </c>
      <c r="J40" s="325">
        <f t="shared" si="19"/>
        <v>0</v>
      </c>
      <c r="K40" s="325">
        <v>176</v>
      </c>
      <c r="L40" s="325">
        <f t="shared" si="20"/>
        <v>176</v>
      </c>
      <c r="M40" s="325">
        <f t="shared" si="21"/>
        <v>0</v>
      </c>
      <c r="N40" s="325">
        <v>176</v>
      </c>
      <c r="O40" s="325">
        <f t="shared" si="22"/>
        <v>176</v>
      </c>
      <c r="P40" s="325">
        <f t="shared" si="23"/>
        <v>0</v>
      </c>
      <c r="Q40" s="325">
        <v>176</v>
      </c>
      <c r="R40" s="325">
        <f t="shared" si="24"/>
        <v>176</v>
      </c>
      <c r="S40" s="325">
        <f t="shared" si="25"/>
        <v>0</v>
      </c>
    </row>
    <row r="41" spans="1:19" x14ac:dyDescent="0.2">
      <c r="A41" s="55" t="s">
        <v>381</v>
      </c>
      <c r="B41" s="325">
        <v>120</v>
      </c>
      <c r="C41" s="325">
        <f t="shared" si="14"/>
        <v>120</v>
      </c>
      <c r="D41" s="325">
        <f t="shared" si="15"/>
        <v>0</v>
      </c>
      <c r="E41" s="325">
        <v>264</v>
      </c>
      <c r="F41" s="325">
        <f t="shared" si="16"/>
        <v>264</v>
      </c>
      <c r="G41" s="325">
        <f t="shared" si="17"/>
        <v>0</v>
      </c>
      <c r="H41" s="325">
        <v>228</v>
      </c>
      <c r="I41" s="325">
        <f t="shared" si="18"/>
        <v>228</v>
      </c>
      <c r="J41" s="325">
        <f t="shared" si="19"/>
        <v>0</v>
      </c>
      <c r="K41" s="325">
        <v>180</v>
      </c>
      <c r="L41" s="325">
        <f t="shared" si="20"/>
        <v>180</v>
      </c>
      <c r="M41" s="325">
        <f t="shared" si="21"/>
        <v>0</v>
      </c>
      <c r="N41" s="325">
        <v>120</v>
      </c>
      <c r="O41" s="325">
        <f t="shared" si="22"/>
        <v>120</v>
      </c>
      <c r="P41" s="325">
        <f t="shared" si="23"/>
        <v>0</v>
      </c>
      <c r="Q41" s="325">
        <v>120</v>
      </c>
      <c r="R41" s="325">
        <f t="shared" si="24"/>
        <v>120</v>
      </c>
      <c r="S41" s="325">
        <f t="shared" si="25"/>
        <v>0</v>
      </c>
    </row>
    <row r="42" spans="1:19" x14ac:dyDescent="0.2">
      <c r="A42" s="55" t="s">
        <v>382</v>
      </c>
      <c r="B42" s="325">
        <v>195</v>
      </c>
      <c r="C42" s="325">
        <f t="shared" si="14"/>
        <v>195</v>
      </c>
      <c r="D42" s="325">
        <f t="shared" si="15"/>
        <v>0</v>
      </c>
      <c r="E42" s="325">
        <v>975</v>
      </c>
      <c r="F42" s="325">
        <f t="shared" si="16"/>
        <v>975</v>
      </c>
      <c r="G42" s="325">
        <f t="shared" si="17"/>
        <v>0</v>
      </c>
      <c r="H42" s="325">
        <v>689</v>
      </c>
      <c r="I42" s="325">
        <f t="shared" si="18"/>
        <v>689</v>
      </c>
      <c r="J42" s="325">
        <f t="shared" si="19"/>
        <v>0</v>
      </c>
      <c r="K42" s="325">
        <v>526.5</v>
      </c>
      <c r="L42" s="325">
        <f t="shared" si="20"/>
        <v>526.5</v>
      </c>
      <c r="M42" s="325">
        <f t="shared" si="21"/>
        <v>0</v>
      </c>
      <c r="N42" s="325">
        <v>195</v>
      </c>
      <c r="O42" s="325">
        <f t="shared" si="22"/>
        <v>195</v>
      </c>
      <c r="P42" s="325">
        <f t="shared" si="23"/>
        <v>0</v>
      </c>
      <c r="Q42" s="325">
        <v>195</v>
      </c>
      <c r="R42" s="325">
        <f t="shared" si="24"/>
        <v>195</v>
      </c>
      <c r="S42" s="325">
        <f t="shared" si="25"/>
        <v>0</v>
      </c>
    </row>
    <row r="43" spans="1:19" x14ac:dyDescent="0.2">
      <c r="A43" s="55" t="s">
        <v>392</v>
      </c>
      <c r="B43" s="325">
        <v>154</v>
      </c>
      <c r="C43" s="325">
        <f t="shared" si="14"/>
        <v>154</v>
      </c>
      <c r="D43" s="325">
        <f t="shared" si="15"/>
        <v>0</v>
      </c>
      <c r="E43" s="325">
        <v>277.2</v>
      </c>
      <c r="F43" s="325">
        <f t="shared" si="16"/>
        <v>277.2</v>
      </c>
      <c r="G43" s="325">
        <f t="shared" si="17"/>
        <v>0</v>
      </c>
      <c r="H43" s="325">
        <v>422.4</v>
      </c>
      <c r="I43" s="325">
        <f t="shared" si="18"/>
        <v>422.4</v>
      </c>
      <c r="J43" s="325">
        <f t="shared" si="19"/>
        <v>0</v>
      </c>
      <c r="K43" s="325">
        <v>343.2</v>
      </c>
      <c r="L43" s="325">
        <f t="shared" si="20"/>
        <v>343.2</v>
      </c>
      <c r="M43" s="325">
        <f t="shared" si="21"/>
        <v>0</v>
      </c>
      <c r="N43" s="325">
        <v>154</v>
      </c>
      <c r="O43" s="325">
        <f t="shared" si="22"/>
        <v>154</v>
      </c>
      <c r="P43" s="325">
        <f t="shared" si="23"/>
        <v>0</v>
      </c>
      <c r="Q43" s="325">
        <v>154</v>
      </c>
      <c r="R43" s="325">
        <f t="shared" si="24"/>
        <v>154</v>
      </c>
      <c r="S43" s="325">
        <f t="shared" si="25"/>
        <v>0</v>
      </c>
    </row>
    <row r="44" spans="1:19" x14ac:dyDescent="0.2">
      <c r="A44" s="48" t="s">
        <v>34</v>
      </c>
      <c r="B44" s="326">
        <f>SUM(B29:B43)</f>
        <v>4728.8999999999996</v>
      </c>
      <c r="C44" s="326">
        <f t="shared" ref="C44:R44" si="26">B44</f>
        <v>4728.8999999999996</v>
      </c>
      <c r="D44" s="326">
        <f t="shared" ref="D44" si="27">B44-C44</f>
        <v>0</v>
      </c>
      <c r="E44" s="326">
        <f>SUM(E29:E43)</f>
        <v>7206.8</v>
      </c>
      <c r="F44" s="326">
        <f t="shared" si="26"/>
        <v>7206.8</v>
      </c>
      <c r="G44" s="326">
        <f t="shared" ref="G44" si="28">E44-F44</f>
        <v>0</v>
      </c>
      <c r="H44" s="326">
        <f>SUM(H29:H43)</f>
        <v>8200</v>
      </c>
      <c r="I44" s="326">
        <f t="shared" si="26"/>
        <v>8200</v>
      </c>
      <c r="J44" s="326">
        <f t="shared" ref="J44" si="29">H44-I44</f>
        <v>0</v>
      </c>
      <c r="K44" s="326">
        <f>SUM(K29:K43)</f>
        <v>6425.3</v>
      </c>
      <c r="L44" s="326">
        <f t="shared" si="26"/>
        <v>6425.3</v>
      </c>
      <c r="M44" s="326">
        <f t="shared" ref="M44" si="30">K44-L44</f>
        <v>0</v>
      </c>
      <c r="N44" s="326">
        <f>SUM(N29:N43)</f>
        <v>4605.7</v>
      </c>
      <c r="O44" s="326">
        <f t="shared" si="26"/>
        <v>4605.7</v>
      </c>
      <c r="P44" s="326">
        <f t="shared" ref="P44" si="31">N44-O44</f>
        <v>0</v>
      </c>
      <c r="Q44" s="326">
        <f>SUM(Q29:Q43)</f>
        <v>4605.7</v>
      </c>
      <c r="R44" s="326">
        <f t="shared" si="26"/>
        <v>4605.7</v>
      </c>
      <c r="S44" s="326">
        <f t="shared" ref="S44" si="32">Q44-R44</f>
        <v>0</v>
      </c>
    </row>
    <row r="45" spans="1:19" x14ac:dyDescent="0.2">
      <c r="A45" s="55"/>
      <c r="B45" s="408" t="s">
        <v>71</v>
      </c>
      <c r="C45" s="408"/>
      <c r="D45" s="408"/>
      <c r="E45" s="401">
        <f>B26+E26+H26+K26+N26+Q26+B44+E44+H44+K44+N44+Q44</f>
        <v>64686.71</v>
      </c>
      <c r="F45" s="402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</row>
    <row r="49" spans="2:2" x14ac:dyDescent="0.2">
      <c r="B49" s="172" t="s">
        <v>47</v>
      </c>
    </row>
  </sheetData>
  <sortState ref="A3:S15">
    <sortCondition ref="A3:A15"/>
  </sortState>
  <mergeCells count="14">
    <mergeCell ref="B45:D45"/>
    <mergeCell ref="E45:F45"/>
    <mergeCell ref="Q1:S1"/>
    <mergeCell ref="B27:D27"/>
    <mergeCell ref="E27:G27"/>
    <mergeCell ref="H27:J27"/>
    <mergeCell ref="K27:M27"/>
    <mergeCell ref="N27:P27"/>
    <mergeCell ref="Q27:S27"/>
    <mergeCell ref="B1:D1"/>
    <mergeCell ref="E1:G1"/>
    <mergeCell ref="H1:J1"/>
    <mergeCell ref="K1:M1"/>
    <mergeCell ref="N1:P1"/>
  </mergeCells>
  <printOptions horizontalCentered="1" gridLines="1"/>
  <pageMargins left="0" right="0" top="0.75" bottom="0" header="0.3" footer="0.3"/>
  <pageSetup scale="80" orientation="landscape" r:id="rId1"/>
  <headerFooter>
    <oddHeader>&amp;LElectrical Engineering Department&amp;C Budget and Expenditure Projection 2016-17
&amp;R&amp;A</oddHeader>
    <oddFooter>&amp;R&amp;8&amp;D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rgb="FFFF0000"/>
  </sheetPr>
  <dimension ref="A1:N51"/>
  <sheetViews>
    <sheetView tabSelected="1" topLeftCell="D1" zoomScaleNormal="100" workbookViewId="0">
      <pane ySplit="1" topLeftCell="A2" activePane="bottomLeft" state="frozen"/>
      <selection activeCell="G34" sqref="G34"/>
      <selection pane="bottomLeft" activeCell="G34" sqref="G34"/>
    </sheetView>
  </sheetViews>
  <sheetFormatPr defaultColWidth="9.140625" defaultRowHeight="12.75" x14ac:dyDescent="0.2"/>
  <cols>
    <col min="1" max="1" width="34.5703125" style="222" customWidth="1"/>
    <col min="2" max="2" width="8.7109375" style="217" bestFit="1" customWidth="1"/>
    <col min="3" max="3" width="11.42578125" style="217" bestFit="1" customWidth="1"/>
    <col min="4" max="5" width="9.7109375" style="217" bestFit="1" customWidth="1"/>
    <col min="6" max="6" width="10.85546875" style="217" bestFit="1" customWidth="1"/>
    <col min="7" max="7" width="9.7109375" style="218" bestFit="1" customWidth="1"/>
    <col min="8" max="10" width="10.28515625" style="217" bestFit="1" customWidth="1"/>
    <col min="11" max="11" width="10.7109375" style="217" bestFit="1" customWidth="1"/>
    <col min="12" max="12" width="11" style="217" bestFit="1" customWidth="1"/>
    <col min="13" max="13" width="10.28515625" style="217" bestFit="1" customWidth="1"/>
    <col min="14" max="14" width="11.28515625" style="217" bestFit="1" customWidth="1"/>
    <col min="15" max="16384" width="9.140625" style="216"/>
  </cols>
  <sheetData>
    <row r="1" spans="1:14" x14ac:dyDescent="0.2">
      <c r="A1" s="159" t="s">
        <v>46</v>
      </c>
      <c r="B1" s="160" t="s">
        <v>6</v>
      </c>
      <c r="C1" s="160" t="s">
        <v>7</v>
      </c>
      <c r="D1" s="160" t="s">
        <v>8</v>
      </c>
      <c r="E1" s="160" t="s">
        <v>127</v>
      </c>
      <c r="F1" s="160" t="s">
        <v>128</v>
      </c>
      <c r="G1" s="195" t="s">
        <v>129</v>
      </c>
      <c r="H1" s="160" t="s">
        <v>130</v>
      </c>
      <c r="I1" s="160" t="s">
        <v>131</v>
      </c>
      <c r="J1" s="160" t="s">
        <v>132</v>
      </c>
      <c r="K1" s="160" t="s">
        <v>133</v>
      </c>
      <c r="L1" s="160" t="s">
        <v>15</v>
      </c>
      <c r="M1" s="160" t="s">
        <v>134</v>
      </c>
      <c r="N1" s="160" t="s">
        <v>135</v>
      </c>
    </row>
    <row r="2" spans="1:14" x14ac:dyDescent="0.2">
      <c r="A2" s="59" t="s">
        <v>91</v>
      </c>
      <c r="B2" s="81">
        <v>203</v>
      </c>
      <c r="C2" s="81">
        <v>203</v>
      </c>
      <c r="D2" s="81">
        <v>203</v>
      </c>
      <c r="E2" s="81">
        <v>203</v>
      </c>
      <c r="F2" s="81">
        <v>203</v>
      </c>
      <c r="G2" s="81">
        <v>203</v>
      </c>
      <c r="H2" s="81">
        <v>203</v>
      </c>
      <c r="I2" s="81">
        <v>203</v>
      </c>
      <c r="J2" s="81">
        <v>203</v>
      </c>
      <c r="K2" s="81">
        <v>203</v>
      </c>
      <c r="L2" s="81">
        <v>203</v>
      </c>
      <c r="M2" s="81">
        <v>203</v>
      </c>
      <c r="N2" s="81">
        <f>SUM(B2:M2)</f>
        <v>2436</v>
      </c>
    </row>
    <row r="3" spans="1:14" x14ac:dyDescent="0.2">
      <c r="A3" s="59" t="s">
        <v>93</v>
      </c>
      <c r="B3" s="81">
        <v>33.04</v>
      </c>
      <c r="C3" s="81">
        <v>19.32</v>
      </c>
      <c r="D3" s="81">
        <v>23.17</v>
      </c>
      <c r="E3" s="81">
        <v>40.85</v>
      </c>
      <c r="F3" s="81">
        <v>51.98</v>
      </c>
      <c r="G3" s="81">
        <v>83.26</v>
      </c>
      <c r="H3" s="81">
        <v>36.61</v>
      </c>
      <c r="I3" s="81">
        <v>50.55</v>
      </c>
      <c r="J3" s="81">
        <v>106.08</v>
      </c>
      <c r="K3" s="81">
        <v>30.17</v>
      </c>
      <c r="L3" s="81">
        <v>29.12</v>
      </c>
      <c r="M3" s="81">
        <v>45</v>
      </c>
      <c r="N3" s="81">
        <f t="shared" ref="N3:N37" si="0">SUM(B3:M3)</f>
        <v>549.15000000000009</v>
      </c>
    </row>
    <row r="4" spans="1:14" x14ac:dyDescent="0.2">
      <c r="A4" s="59" t="s">
        <v>194</v>
      </c>
      <c r="B4" s="81">
        <v>144.57</v>
      </c>
      <c r="C4" s="81">
        <v>141.81</v>
      </c>
      <c r="D4" s="81">
        <v>136.83000000000001</v>
      </c>
      <c r="E4" s="81">
        <v>149.6</v>
      </c>
      <c r="F4" s="81">
        <v>141.61000000000001</v>
      </c>
      <c r="G4" s="81">
        <v>146.25</v>
      </c>
      <c r="H4" s="81">
        <v>141.16999999999999</v>
      </c>
      <c r="I4" s="81">
        <v>149.53</v>
      </c>
      <c r="J4" s="81">
        <v>145.4</v>
      </c>
      <c r="K4" s="81">
        <v>523.92999999999995</v>
      </c>
      <c r="L4" s="81">
        <v>154.99</v>
      </c>
      <c r="M4" s="81">
        <v>145</v>
      </c>
      <c r="N4" s="81">
        <f t="shared" si="0"/>
        <v>2120.6900000000005</v>
      </c>
    </row>
    <row r="5" spans="1:14" x14ac:dyDescent="0.2">
      <c r="A5" s="59" t="s">
        <v>19</v>
      </c>
      <c r="B5" s="81">
        <v>0</v>
      </c>
      <c r="C5" s="81">
        <v>0</v>
      </c>
      <c r="D5" s="81">
        <v>0</v>
      </c>
      <c r="E5" s="81">
        <v>0</v>
      </c>
      <c r="F5" s="81">
        <v>80.900000000000006</v>
      </c>
      <c r="G5" s="81">
        <v>0</v>
      </c>
      <c r="H5" s="81">
        <v>0</v>
      </c>
      <c r="I5" s="81">
        <v>48.24</v>
      </c>
      <c r="J5" s="81">
        <v>0</v>
      </c>
      <c r="K5" s="81">
        <v>0</v>
      </c>
      <c r="L5" s="81">
        <v>0</v>
      </c>
      <c r="M5" s="81">
        <v>0</v>
      </c>
      <c r="N5" s="81">
        <f t="shared" si="0"/>
        <v>129.14000000000001</v>
      </c>
    </row>
    <row r="6" spans="1:14" x14ac:dyDescent="0.2">
      <c r="A6" s="59" t="s">
        <v>20</v>
      </c>
      <c r="B6" s="81">
        <v>0</v>
      </c>
      <c r="C6" s="81">
        <v>0</v>
      </c>
      <c r="D6" s="81">
        <v>0</v>
      </c>
      <c r="E6" s="81">
        <v>0</v>
      </c>
      <c r="F6" s="81">
        <v>0</v>
      </c>
      <c r="G6" s="81">
        <v>0</v>
      </c>
      <c r="H6" s="81">
        <v>0</v>
      </c>
      <c r="I6" s="81">
        <v>0</v>
      </c>
      <c r="J6" s="81">
        <v>0</v>
      </c>
      <c r="K6" s="81">
        <v>0</v>
      </c>
      <c r="L6" s="81">
        <v>0</v>
      </c>
      <c r="M6" s="81">
        <v>0</v>
      </c>
      <c r="N6" s="81">
        <f t="shared" si="0"/>
        <v>0</v>
      </c>
    </row>
    <row r="7" spans="1:14" x14ac:dyDescent="0.2">
      <c r="A7" s="59" t="s">
        <v>94</v>
      </c>
      <c r="B7" s="81">
        <v>0</v>
      </c>
      <c r="C7" s="81">
        <v>0</v>
      </c>
      <c r="D7" s="81">
        <v>30</v>
      </c>
      <c r="E7" s="81">
        <v>2383</v>
      </c>
      <c r="F7" s="81">
        <v>75</v>
      </c>
      <c r="G7" s="81">
        <v>749</v>
      </c>
      <c r="H7" s="81">
        <v>565</v>
      </c>
      <c r="I7" s="81">
        <v>3636.28</v>
      </c>
      <c r="J7" s="81">
        <v>1512.78</v>
      </c>
      <c r="K7" s="81">
        <v>0</v>
      </c>
      <c r="L7" s="81">
        <v>201.71</v>
      </c>
      <c r="M7" s="81">
        <v>0</v>
      </c>
      <c r="N7" s="81">
        <f t="shared" si="0"/>
        <v>9152.77</v>
      </c>
    </row>
    <row r="8" spans="1:14" x14ac:dyDescent="0.2">
      <c r="A8" s="59" t="s">
        <v>21</v>
      </c>
      <c r="B8" s="81">
        <v>0</v>
      </c>
      <c r="C8" s="81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1">
        <f t="shared" si="0"/>
        <v>0</v>
      </c>
    </row>
    <row r="9" spans="1:14" x14ac:dyDescent="0.2">
      <c r="A9" s="59" t="s">
        <v>82</v>
      </c>
      <c r="B9" s="81"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f t="shared" si="0"/>
        <v>0</v>
      </c>
    </row>
    <row r="10" spans="1:14" x14ac:dyDescent="0.2">
      <c r="A10" s="59" t="s">
        <v>22</v>
      </c>
      <c r="B10" s="81">
        <v>17.89</v>
      </c>
      <c r="C10" s="81">
        <v>843.93</v>
      </c>
      <c r="D10" s="81">
        <v>1.34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f t="shared" si="0"/>
        <v>863.16</v>
      </c>
    </row>
    <row r="11" spans="1:14" x14ac:dyDescent="0.2">
      <c r="A11" s="59" t="s">
        <v>23</v>
      </c>
      <c r="B11" s="81">
        <v>0</v>
      </c>
      <c r="C11" s="81">
        <v>0</v>
      </c>
      <c r="D11" s="81">
        <f>4500+2164.24</f>
        <v>6664.24</v>
      </c>
      <c r="E11" s="81">
        <v>0</v>
      </c>
      <c r="F11" s="81">
        <v>1835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f t="shared" si="0"/>
        <v>8499.24</v>
      </c>
    </row>
    <row r="12" spans="1:14" x14ac:dyDescent="0.2">
      <c r="A12" s="59" t="s">
        <v>103</v>
      </c>
      <c r="B12" s="81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f t="shared" si="0"/>
        <v>0</v>
      </c>
    </row>
    <row r="13" spans="1:14" x14ac:dyDescent="0.2">
      <c r="A13" s="59" t="s">
        <v>197</v>
      </c>
      <c r="B13" s="81">
        <v>0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f t="shared" si="0"/>
        <v>0</v>
      </c>
    </row>
    <row r="14" spans="1:14" x14ac:dyDescent="0.2">
      <c r="A14" s="59" t="s">
        <v>115</v>
      </c>
      <c r="B14" s="81">
        <v>118.12</v>
      </c>
      <c r="C14" s="81">
        <v>1003.29</v>
      </c>
      <c r="D14" s="81">
        <v>472</v>
      </c>
      <c r="E14" s="81">
        <v>76.59</v>
      </c>
      <c r="F14" s="81">
        <v>1132.1600000000001</v>
      </c>
      <c r="G14" s="81">
        <v>31.07</v>
      </c>
      <c r="H14" s="81">
        <v>101.3</v>
      </c>
      <c r="I14" s="81">
        <v>1231.07</v>
      </c>
      <c r="J14" s="81">
        <v>0</v>
      </c>
      <c r="K14" s="81">
        <v>218.13</v>
      </c>
      <c r="L14" s="81">
        <v>500</v>
      </c>
      <c r="M14" s="81">
        <v>500</v>
      </c>
      <c r="N14" s="81">
        <f t="shared" si="0"/>
        <v>5383.7300000000005</v>
      </c>
    </row>
    <row r="15" spans="1:14" x14ac:dyDescent="0.2">
      <c r="A15" s="59" t="s">
        <v>24</v>
      </c>
      <c r="B15" s="81">
        <v>0</v>
      </c>
      <c r="C15" s="81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f t="shared" si="0"/>
        <v>0</v>
      </c>
    </row>
    <row r="16" spans="1:14" x14ac:dyDescent="0.2">
      <c r="A16" s="59" t="s">
        <v>25</v>
      </c>
      <c r="B16" s="81">
        <v>0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163">
        <f>4963.68+16309.6+8516.46+11406.06</f>
        <v>41195.799999999996</v>
      </c>
      <c r="M16" s="81">
        <v>0</v>
      </c>
      <c r="N16" s="81">
        <f t="shared" si="0"/>
        <v>41195.799999999996</v>
      </c>
    </row>
    <row r="17" spans="1:14" x14ac:dyDescent="0.2">
      <c r="A17" s="59" t="s">
        <v>116</v>
      </c>
      <c r="B17" s="81">
        <v>75.64</v>
      </c>
      <c r="C17" s="81">
        <v>1115.07</v>
      </c>
      <c r="D17" s="81">
        <v>12.92</v>
      </c>
      <c r="E17" s="81">
        <v>0</v>
      </c>
      <c r="F17" s="81">
        <v>275.05</v>
      </c>
      <c r="G17" s="81">
        <v>0</v>
      </c>
      <c r="H17" s="81">
        <v>221.2</v>
      </c>
      <c r="I17" s="81">
        <v>0</v>
      </c>
      <c r="J17" s="81">
        <v>0</v>
      </c>
      <c r="K17" s="81">
        <v>492.25</v>
      </c>
      <c r="L17" s="81">
        <v>0</v>
      </c>
      <c r="M17" s="81">
        <v>0</v>
      </c>
      <c r="N17" s="81">
        <f t="shared" si="0"/>
        <v>2192.13</v>
      </c>
    </row>
    <row r="18" spans="1:14" x14ac:dyDescent="0.2">
      <c r="A18" s="59" t="s">
        <v>117</v>
      </c>
      <c r="B18" s="81">
        <v>104.91</v>
      </c>
      <c r="C18" s="81">
        <v>410.75</v>
      </c>
      <c r="D18" s="81">
        <v>108.15</v>
      </c>
      <c r="E18" s="81">
        <v>167.21</v>
      </c>
      <c r="F18" s="81">
        <v>309.52</v>
      </c>
      <c r="G18" s="81">
        <v>30.6</v>
      </c>
      <c r="H18" s="81">
        <v>0</v>
      </c>
      <c r="I18" s="81">
        <v>209.15</v>
      </c>
      <c r="J18" s="81">
        <v>45.36</v>
      </c>
      <c r="K18" s="81">
        <v>108.15</v>
      </c>
      <c r="L18" s="163">
        <f>160.62+60.83+52.5+150.94</f>
        <v>424.89</v>
      </c>
      <c r="M18" s="81">
        <v>0</v>
      </c>
      <c r="N18" s="81">
        <f t="shared" si="0"/>
        <v>1918.69</v>
      </c>
    </row>
    <row r="19" spans="1:14" x14ac:dyDescent="0.2">
      <c r="A19" s="59" t="s">
        <v>146</v>
      </c>
      <c r="B19" s="81">
        <v>0</v>
      </c>
      <c r="C19" s="81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f t="shared" si="0"/>
        <v>0</v>
      </c>
    </row>
    <row r="20" spans="1:14" x14ac:dyDescent="0.2">
      <c r="A20" s="59" t="s">
        <v>144</v>
      </c>
      <c r="B20" s="81">
        <v>34</v>
      </c>
      <c r="C20" s="81">
        <v>17</v>
      </c>
      <c r="D20" s="81">
        <v>17</v>
      </c>
      <c r="E20" s="81">
        <v>17</v>
      </c>
      <c r="F20" s="81">
        <v>17</v>
      </c>
      <c r="G20" s="81">
        <v>17</v>
      </c>
      <c r="H20" s="81">
        <v>17</v>
      </c>
      <c r="I20" s="81">
        <v>17</v>
      </c>
      <c r="J20" s="81">
        <v>17</v>
      </c>
      <c r="K20" s="81">
        <v>17</v>
      </c>
      <c r="L20" s="81">
        <v>17</v>
      </c>
      <c r="M20" s="81">
        <v>17</v>
      </c>
      <c r="N20" s="81">
        <f t="shared" si="0"/>
        <v>221</v>
      </c>
    </row>
    <row r="21" spans="1:14" x14ac:dyDescent="0.2">
      <c r="A21" s="59" t="s">
        <v>26</v>
      </c>
      <c r="B21" s="81">
        <v>1396.43</v>
      </c>
      <c r="C21" s="81">
        <v>18.260000000000002</v>
      </c>
      <c r="D21" s="81">
        <v>89.87</v>
      </c>
      <c r="E21" s="81">
        <v>778.01</v>
      </c>
      <c r="F21" s="81">
        <v>364.84</v>
      </c>
      <c r="G21" s="81">
        <v>0</v>
      </c>
      <c r="H21" s="81">
        <v>0</v>
      </c>
      <c r="I21" s="81">
        <v>0</v>
      </c>
      <c r="J21" s="81">
        <v>0</v>
      </c>
      <c r="K21" s="81">
        <v>307.57</v>
      </c>
      <c r="L21" s="81">
        <v>0</v>
      </c>
      <c r="M21" s="81">
        <v>0</v>
      </c>
      <c r="N21" s="81">
        <f t="shared" si="0"/>
        <v>2954.98</v>
      </c>
    </row>
    <row r="22" spans="1:14" x14ac:dyDescent="0.2">
      <c r="A22" s="59" t="s">
        <v>45</v>
      </c>
      <c r="B22" s="81">
        <v>0</v>
      </c>
      <c r="C22" s="81">
        <v>0</v>
      </c>
      <c r="D22" s="81">
        <v>0</v>
      </c>
      <c r="E22" s="81">
        <v>6.41</v>
      </c>
      <c r="F22" s="81">
        <v>0</v>
      </c>
      <c r="G22" s="81">
        <v>0</v>
      </c>
      <c r="H22" s="81">
        <v>16</v>
      </c>
      <c r="I22" s="81">
        <v>4</v>
      </c>
      <c r="J22" s="81">
        <v>0</v>
      </c>
      <c r="K22" s="81">
        <v>4</v>
      </c>
      <c r="L22" s="81">
        <v>0</v>
      </c>
      <c r="M22" s="81">
        <v>0</v>
      </c>
      <c r="N22" s="81">
        <f t="shared" si="0"/>
        <v>30.41</v>
      </c>
    </row>
    <row r="23" spans="1:14" x14ac:dyDescent="0.2">
      <c r="A23" s="59" t="s">
        <v>27</v>
      </c>
      <c r="B23" s="81">
        <v>56.75</v>
      </c>
      <c r="C23" s="81">
        <v>75.2</v>
      </c>
      <c r="D23" s="81">
        <v>5.51</v>
      </c>
      <c r="E23" s="81">
        <v>0</v>
      </c>
      <c r="F23" s="81">
        <v>7.41</v>
      </c>
      <c r="G23" s="81">
        <v>29.84</v>
      </c>
      <c r="H23" s="81">
        <v>2.5299999999999998</v>
      </c>
      <c r="I23" s="81">
        <v>0.92</v>
      </c>
      <c r="J23" s="81">
        <v>60.61</v>
      </c>
      <c r="K23" s="81">
        <v>55.05</v>
      </c>
      <c r="L23" s="163">
        <f>35+55.66</f>
        <v>90.66</v>
      </c>
      <c r="M23" s="81">
        <v>35</v>
      </c>
      <c r="N23" s="81">
        <f t="shared" si="0"/>
        <v>419.48</v>
      </c>
    </row>
    <row r="24" spans="1:14" x14ac:dyDescent="0.2">
      <c r="A24" s="59" t="s">
        <v>335</v>
      </c>
      <c r="B24" s="81">
        <v>157.43</v>
      </c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25</v>
      </c>
      <c r="M24" s="81">
        <v>25</v>
      </c>
      <c r="N24" s="81">
        <f t="shared" si="0"/>
        <v>207.43</v>
      </c>
    </row>
    <row r="25" spans="1:14" x14ac:dyDescent="0.2">
      <c r="A25" s="59" t="s">
        <v>48</v>
      </c>
      <c r="B25" s="81">
        <v>474.61</v>
      </c>
      <c r="C25" s="81">
        <v>194.49</v>
      </c>
      <c r="D25" s="81">
        <v>233.46</v>
      </c>
      <c r="E25" s="81">
        <v>0</v>
      </c>
      <c r="F25" s="81">
        <v>0</v>
      </c>
      <c r="G25" s="81">
        <v>51.61</v>
      </c>
      <c r="H25" s="81">
        <v>48.01</v>
      </c>
      <c r="I25" s="81">
        <v>43.41</v>
      </c>
      <c r="J25" s="81">
        <v>112.27</v>
      </c>
      <c r="K25" s="81">
        <v>36.299999999999997</v>
      </c>
      <c r="L25" s="81">
        <v>500</v>
      </c>
      <c r="M25" s="81">
        <v>500</v>
      </c>
      <c r="N25" s="81">
        <f t="shared" si="0"/>
        <v>2194.16</v>
      </c>
    </row>
    <row r="26" spans="1:14" x14ac:dyDescent="0.2">
      <c r="A26" s="59" t="s">
        <v>121</v>
      </c>
      <c r="B26" s="81">
        <v>0</v>
      </c>
      <c r="C26" s="81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837.05</v>
      </c>
      <c r="J26" s="81">
        <v>0</v>
      </c>
      <c r="K26" s="81">
        <v>0</v>
      </c>
      <c r="L26" s="81">
        <v>0</v>
      </c>
      <c r="M26" s="81">
        <v>0</v>
      </c>
      <c r="N26" s="81">
        <f t="shared" si="0"/>
        <v>837.05</v>
      </c>
    </row>
    <row r="27" spans="1:14" x14ac:dyDescent="0.2">
      <c r="A27" s="59" t="s">
        <v>95</v>
      </c>
      <c r="B27" s="81">
        <v>0</v>
      </c>
      <c r="C27" s="81">
        <f>B27</f>
        <v>0</v>
      </c>
      <c r="D27" s="81">
        <f t="shared" ref="D27:M27" si="1">C27</f>
        <v>0</v>
      </c>
      <c r="E27" s="81">
        <f t="shared" si="1"/>
        <v>0</v>
      </c>
      <c r="F27" s="81">
        <f t="shared" si="1"/>
        <v>0</v>
      </c>
      <c r="G27" s="81">
        <f t="shared" si="1"/>
        <v>0</v>
      </c>
      <c r="H27" s="81">
        <f t="shared" si="1"/>
        <v>0</v>
      </c>
      <c r="I27" s="81">
        <f t="shared" si="1"/>
        <v>0</v>
      </c>
      <c r="J27" s="81">
        <f t="shared" si="1"/>
        <v>0</v>
      </c>
      <c r="K27" s="81">
        <v>7.41</v>
      </c>
      <c r="L27" s="81">
        <f t="shared" si="1"/>
        <v>7.41</v>
      </c>
      <c r="M27" s="81">
        <f t="shared" si="1"/>
        <v>7.41</v>
      </c>
      <c r="N27" s="81">
        <f t="shared" si="0"/>
        <v>22.23</v>
      </c>
    </row>
    <row r="28" spans="1:14" x14ac:dyDescent="0.2">
      <c r="A28" s="59" t="s">
        <v>44</v>
      </c>
      <c r="B28" s="81">
        <v>0</v>
      </c>
      <c r="C28" s="81">
        <v>0</v>
      </c>
      <c r="D28" s="81">
        <v>0</v>
      </c>
      <c r="E28" s="81">
        <v>3511.08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f t="shared" si="0"/>
        <v>3511.08</v>
      </c>
    </row>
    <row r="29" spans="1:14" x14ac:dyDescent="0.2">
      <c r="A29" s="59" t="s">
        <v>354</v>
      </c>
      <c r="B29" s="81">
        <v>0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f t="shared" si="0"/>
        <v>0</v>
      </c>
    </row>
    <row r="30" spans="1:14" x14ac:dyDescent="0.2">
      <c r="A30" s="59" t="s">
        <v>327</v>
      </c>
      <c r="B30" s="81">
        <v>0</v>
      </c>
      <c r="C30" s="81">
        <v>0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f t="shared" si="0"/>
        <v>0</v>
      </c>
    </row>
    <row r="31" spans="1:14" x14ac:dyDescent="0.2">
      <c r="A31" s="59" t="s">
        <v>328</v>
      </c>
      <c r="B31" s="81">
        <v>0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f t="shared" si="0"/>
        <v>0</v>
      </c>
    </row>
    <row r="32" spans="1:14" x14ac:dyDescent="0.2">
      <c r="A32" s="59" t="s">
        <v>348</v>
      </c>
      <c r="B32" s="81">
        <v>0</v>
      </c>
      <c r="C32" s="81">
        <v>0</v>
      </c>
      <c r="D32" s="81">
        <v>0</v>
      </c>
      <c r="E32" s="81">
        <v>119.5</v>
      </c>
      <c r="F32" s="81">
        <v>0</v>
      </c>
      <c r="G32" s="81">
        <v>0</v>
      </c>
      <c r="H32" s="81">
        <v>0</v>
      </c>
      <c r="I32" s="81">
        <v>0</v>
      </c>
      <c r="J32" s="81">
        <v>90</v>
      </c>
      <c r="K32" s="81">
        <v>0</v>
      </c>
      <c r="L32" s="81">
        <v>0</v>
      </c>
      <c r="M32" s="81">
        <v>0</v>
      </c>
      <c r="N32" s="81">
        <f t="shared" si="0"/>
        <v>209.5</v>
      </c>
    </row>
    <row r="33" spans="1:14" x14ac:dyDescent="0.2">
      <c r="A33" s="59" t="s">
        <v>282</v>
      </c>
      <c r="B33" s="81">
        <v>-170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f t="shared" si="0"/>
        <v>-170</v>
      </c>
    </row>
    <row r="34" spans="1:14" x14ac:dyDescent="0.2">
      <c r="A34" s="59" t="s">
        <v>295</v>
      </c>
      <c r="B34" s="81">
        <v>0</v>
      </c>
      <c r="C34" s="81">
        <v>0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J34" s="81">
        <v>1736.15</v>
      </c>
      <c r="K34" s="81">
        <v>0</v>
      </c>
      <c r="L34" s="81">
        <v>0</v>
      </c>
      <c r="M34" s="81">
        <v>0</v>
      </c>
      <c r="N34" s="81">
        <f t="shared" si="0"/>
        <v>1736.15</v>
      </c>
    </row>
    <row r="35" spans="1:14" x14ac:dyDescent="0.2">
      <c r="A35" s="59" t="s">
        <v>362</v>
      </c>
      <c r="B35" s="81">
        <v>0</v>
      </c>
      <c r="C35" s="81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2575.02</v>
      </c>
      <c r="N35" s="81">
        <f t="shared" si="0"/>
        <v>2575.02</v>
      </c>
    </row>
    <row r="36" spans="1:14" x14ac:dyDescent="0.2">
      <c r="A36" s="59" t="s">
        <v>319</v>
      </c>
      <c r="B36" s="81">
        <v>0</v>
      </c>
      <c r="C36" s="81">
        <v>0</v>
      </c>
      <c r="D36" s="81">
        <v>0</v>
      </c>
      <c r="E36" s="81">
        <v>0</v>
      </c>
      <c r="F36" s="81">
        <v>2302.2600000000002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f>10000-SUM(B36:L36)</f>
        <v>7697.74</v>
      </c>
      <c r="N36" s="81">
        <f t="shared" si="0"/>
        <v>10000</v>
      </c>
    </row>
    <row r="37" spans="1:14" x14ac:dyDescent="0.2">
      <c r="A37" s="59" t="s">
        <v>340</v>
      </c>
      <c r="B37" s="81">
        <v>0</v>
      </c>
      <c r="C37" s="81">
        <v>0</v>
      </c>
      <c r="D37" s="81">
        <v>0</v>
      </c>
      <c r="E37" s="81">
        <v>0</v>
      </c>
      <c r="F37" s="81">
        <v>858.11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f>5000-SUM(B37:L37)</f>
        <v>4141.8900000000003</v>
      </c>
      <c r="N37" s="81">
        <f t="shared" si="0"/>
        <v>5000</v>
      </c>
    </row>
    <row r="38" spans="1:14" x14ac:dyDescent="0.2">
      <c r="A38" s="68" t="s">
        <v>34</v>
      </c>
      <c r="B38" s="161">
        <f t="shared" ref="B38:N38" si="2">SUM(B2:B37)</f>
        <v>2646.39</v>
      </c>
      <c r="C38" s="161">
        <f t="shared" si="2"/>
        <v>4042.12</v>
      </c>
      <c r="D38" s="161">
        <f t="shared" si="2"/>
        <v>7997.49</v>
      </c>
      <c r="E38" s="161">
        <f t="shared" si="2"/>
        <v>7452.25</v>
      </c>
      <c r="F38" s="161">
        <f t="shared" si="2"/>
        <v>7653.8399999999992</v>
      </c>
      <c r="G38" s="161">
        <f t="shared" si="2"/>
        <v>1341.6299999999997</v>
      </c>
      <c r="H38" s="161">
        <f t="shared" si="2"/>
        <v>1351.82</v>
      </c>
      <c r="I38" s="161">
        <f t="shared" si="2"/>
        <v>6430.2</v>
      </c>
      <c r="J38" s="161">
        <f t="shared" si="2"/>
        <v>4028.65</v>
      </c>
      <c r="K38" s="161">
        <f t="shared" si="2"/>
        <v>2002.96</v>
      </c>
      <c r="L38" s="161">
        <f t="shared" si="2"/>
        <v>43349.58</v>
      </c>
      <c r="M38" s="161">
        <f t="shared" si="2"/>
        <v>15892.060000000001</v>
      </c>
      <c r="N38" s="161">
        <f t="shared" si="2"/>
        <v>104188.98999999999</v>
      </c>
    </row>
    <row r="39" spans="1:14" x14ac:dyDescent="0.2">
      <c r="A39" s="5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</row>
    <row r="40" spans="1:14" x14ac:dyDescent="0.2">
      <c r="A40" s="59" t="s">
        <v>28</v>
      </c>
      <c r="B40" s="81"/>
      <c r="C40" s="81">
        <v>0</v>
      </c>
      <c r="D40" s="81">
        <v>0</v>
      </c>
      <c r="E40" s="81">
        <v>0</v>
      </c>
      <c r="F40" s="81">
        <v>0</v>
      </c>
      <c r="G40" s="81">
        <v>0</v>
      </c>
      <c r="H40" s="81"/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f>SUM(B40:M40)</f>
        <v>0</v>
      </c>
    </row>
    <row r="41" spans="1:14" x14ac:dyDescent="0.2">
      <c r="A41" s="59" t="s">
        <v>29</v>
      </c>
      <c r="B41" s="81">
        <v>0</v>
      </c>
      <c r="C41" s="81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1">
        <f>SUM(B41:M41)</f>
        <v>0</v>
      </c>
    </row>
    <row r="42" spans="1:14" x14ac:dyDescent="0.2">
      <c r="A42" s="59" t="s">
        <v>17</v>
      </c>
      <c r="B42" s="81">
        <v>0</v>
      </c>
      <c r="C42" s="81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162">
        <v>0</v>
      </c>
      <c r="L42" s="81">
        <v>0</v>
      </c>
      <c r="M42" s="81">
        <f>L42</f>
        <v>0</v>
      </c>
      <c r="N42" s="81">
        <f>SUM(B42:M42)</f>
        <v>0</v>
      </c>
    </row>
    <row r="43" spans="1:14" x14ac:dyDescent="0.2">
      <c r="A43" s="59" t="s">
        <v>18</v>
      </c>
      <c r="B43" s="81">
        <v>0</v>
      </c>
      <c r="C43" s="81">
        <v>0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162">
        <v>0</v>
      </c>
      <c r="L43" s="81">
        <v>0</v>
      </c>
      <c r="M43" s="81">
        <v>0</v>
      </c>
      <c r="N43" s="81">
        <f>SUM(B43:M43)</f>
        <v>0</v>
      </c>
    </row>
    <row r="44" spans="1:14" x14ac:dyDescent="0.2">
      <c r="A44" s="68" t="s">
        <v>34</v>
      </c>
      <c r="B44" s="161">
        <f t="shared" ref="B44:I44" si="3">SUM(B40:B43)</f>
        <v>0</v>
      </c>
      <c r="C44" s="161">
        <f t="shared" si="3"/>
        <v>0</v>
      </c>
      <c r="D44" s="161">
        <f t="shared" si="3"/>
        <v>0</v>
      </c>
      <c r="E44" s="161">
        <f t="shared" si="3"/>
        <v>0</v>
      </c>
      <c r="F44" s="161">
        <f t="shared" si="3"/>
        <v>0</v>
      </c>
      <c r="G44" s="161">
        <f t="shared" si="3"/>
        <v>0</v>
      </c>
      <c r="H44" s="161">
        <f t="shared" si="3"/>
        <v>0</v>
      </c>
      <c r="I44" s="161">
        <f t="shared" si="3"/>
        <v>0</v>
      </c>
      <c r="J44" s="161">
        <f>SUM(J40:J43)</f>
        <v>0</v>
      </c>
      <c r="K44" s="163">
        <f>SUM(K40:K43)</f>
        <v>0</v>
      </c>
      <c r="L44" s="161">
        <f>SUM(L40:L43)</f>
        <v>0</v>
      </c>
      <c r="M44" s="161">
        <f>SUM(M40:M43)</f>
        <v>0</v>
      </c>
      <c r="N44" s="161">
        <f>SUM(N40:N43)</f>
        <v>0</v>
      </c>
    </row>
    <row r="45" spans="1:14" x14ac:dyDescent="0.2">
      <c r="A45" s="103"/>
      <c r="B45" s="59"/>
      <c r="C45" s="59"/>
      <c r="D45"/>
      <c r="E45" s="59"/>
      <c r="F45" s="216"/>
      <c r="G45" s="220"/>
      <c r="H45" s="59"/>
      <c r="I45" s="216"/>
      <c r="J45" s="59"/>
      <c r="K45" s="59"/>
      <c r="L45" s="221"/>
      <c r="M45" s="59"/>
      <c r="N45" s="59"/>
    </row>
    <row r="46" spans="1:14" x14ac:dyDescent="0.2">
      <c r="A46" s="103"/>
      <c r="B46" s="59"/>
      <c r="C46" s="59"/>
      <c r="D46" s="59"/>
      <c r="E46" s="59"/>
      <c r="F46" s="59"/>
      <c r="G46" s="220"/>
      <c r="H46" s="59"/>
      <c r="I46" s="59"/>
      <c r="J46" s="59"/>
      <c r="K46" s="59"/>
      <c r="L46" s="59"/>
      <c r="M46" s="59"/>
      <c r="N46" s="59" t="s">
        <v>47</v>
      </c>
    </row>
    <row r="47" spans="1:14" x14ac:dyDescent="0.2">
      <c r="A47" s="103"/>
      <c r="B47" s="59"/>
      <c r="C47" s="59"/>
      <c r="D47" s="59"/>
      <c r="E47" s="59"/>
      <c r="F47" s="59"/>
      <c r="G47" s="220"/>
      <c r="H47" s="59"/>
      <c r="I47" s="59"/>
      <c r="J47" s="59"/>
      <c r="K47" s="59"/>
      <c r="L47" s="59"/>
      <c r="M47" s="59"/>
      <c r="N47" s="59"/>
    </row>
    <row r="48" spans="1:14" x14ac:dyDescent="0.2">
      <c r="K48" s="59"/>
    </row>
    <row r="49" spans="11:12" x14ac:dyDescent="0.2">
      <c r="K49" s="59"/>
    </row>
    <row r="50" spans="11:12" x14ac:dyDescent="0.2">
      <c r="K50" s="59"/>
      <c r="L50" s="59"/>
    </row>
    <row r="51" spans="11:12" x14ac:dyDescent="0.2">
      <c r="K51" s="59"/>
    </row>
  </sheetData>
  <phoneticPr fontId="19" type="noConversion"/>
  <printOptions horizontalCentered="1" gridLines="1"/>
  <pageMargins left="0" right="0" top="0.75" bottom="0" header="0.3" footer="0.3"/>
  <pageSetup scale="80" orientation="landscape" r:id="rId1"/>
  <headerFooter>
    <oddHeader>&amp;LElectrical Engineering Department&amp;C Budget and Expenditure Projection 2016-17
&amp;R&amp;A</oddHeader>
    <oddFooter>&amp;R&amp;8&amp;D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6" tint="0.39997558519241921"/>
  </sheetPr>
  <dimension ref="A1:N32"/>
  <sheetViews>
    <sheetView tabSelected="1" workbookViewId="0">
      <pane xSplit="1" topLeftCell="B1" activePane="topRight" state="frozen"/>
      <selection activeCell="G34" sqref="G34"/>
      <selection pane="topRight" activeCell="G34" sqref="G34"/>
    </sheetView>
  </sheetViews>
  <sheetFormatPr defaultRowHeight="12.75" x14ac:dyDescent="0.2"/>
  <cols>
    <col min="1" max="1" width="31.85546875" customWidth="1"/>
    <col min="2" max="3" width="9.7109375" style="58" bestFit="1" customWidth="1"/>
    <col min="4" max="5" width="10.7109375" style="58" bestFit="1" customWidth="1"/>
    <col min="6" max="7" width="10.28515625" style="58" bestFit="1" customWidth="1"/>
    <col min="8" max="8" width="10.7109375" style="58" bestFit="1" customWidth="1"/>
    <col min="9" max="9" width="10.7109375" style="117" bestFit="1" customWidth="1"/>
    <col min="10" max="10" width="9.85546875" style="58" customWidth="1"/>
    <col min="11" max="11" width="10.7109375" style="58" bestFit="1" customWidth="1"/>
    <col min="12" max="12" width="11" style="58" bestFit="1" customWidth="1"/>
    <col min="13" max="13" width="9.7109375" style="58" bestFit="1" customWidth="1"/>
    <col min="14" max="14" width="10.7109375" style="58" bestFit="1" customWidth="1"/>
  </cols>
  <sheetData>
    <row r="1" spans="1:14" s="25" customFormat="1" x14ac:dyDescent="0.2">
      <c r="A1" s="62"/>
      <c r="B1" s="114" t="s">
        <v>6</v>
      </c>
      <c r="C1" s="114" t="s">
        <v>7</v>
      </c>
      <c r="D1" s="114" t="s">
        <v>8</v>
      </c>
      <c r="E1" s="114" t="s">
        <v>127</v>
      </c>
      <c r="F1" s="114" t="s">
        <v>128</v>
      </c>
      <c r="G1" s="114" t="s">
        <v>129</v>
      </c>
      <c r="H1" s="114" t="s">
        <v>130</v>
      </c>
      <c r="I1" s="114" t="s">
        <v>136</v>
      </c>
      <c r="J1" s="114" t="s">
        <v>132</v>
      </c>
      <c r="K1" s="114" t="s">
        <v>133</v>
      </c>
      <c r="L1" s="114" t="s">
        <v>15</v>
      </c>
      <c r="M1" s="114" t="s">
        <v>134</v>
      </c>
      <c r="N1" s="114" t="s">
        <v>34</v>
      </c>
    </row>
    <row r="2" spans="1:14" x14ac:dyDescent="0.2">
      <c r="A2" s="65" t="s">
        <v>119</v>
      </c>
      <c r="B2" s="115">
        <v>3700.04</v>
      </c>
      <c r="C2" s="115">
        <v>0</v>
      </c>
      <c r="D2" s="115">
        <v>0</v>
      </c>
      <c r="E2" s="115">
        <v>0</v>
      </c>
      <c r="F2" s="115">
        <v>0</v>
      </c>
      <c r="G2" s="115">
        <v>0</v>
      </c>
      <c r="H2" s="115">
        <v>0</v>
      </c>
      <c r="I2" s="115">
        <v>0</v>
      </c>
      <c r="J2" s="115">
        <v>0</v>
      </c>
      <c r="K2" s="115">
        <v>0</v>
      </c>
      <c r="L2" s="115">
        <v>0</v>
      </c>
      <c r="M2" s="115">
        <v>0</v>
      </c>
      <c r="N2" s="115">
        <f>SUM(B2:M2)</f>
        <v>3700.04</v>
      </c>
    </row>
    <row r="3" spans="1:14" x14ac:dyDescent="0.2">
      <c r="A3" s="65" t="s">
        <v>120</v>
      </c>
      <c r="B3" s="115">
        <v>0</v>
      </c>
      <c r="C3" s="115">
        <v>0</v>
      </c>
      <c r="D3" s="115">
        <v>0</v>
      </c>
      <c r="E3" s="115">
        <v>50000</v>
      </c>
      <c r="F3" s="115">
        <v>0</v>
      </c>
      <c r="G3" s="115">
        <f t="shared" ref="G3:M3" si="0">SUM(G2)</f>
        <v>0</v>
      </c>
      <c r="H3" s="115">
        <f t="shared" si="0"/>
        <v>0</v>
      </c>
      <c r="I3" s="115">
        <f t="shared" si="0"/>
        <v>0</v>
      </c>
      <c r="J3" s="115">
        <f t="shared" si="0"/>
        <v>0</v>
      </c>
      <c r="K3" s="115">
        <f t="shared" si="0"/>
        <v>0</v>
      </c>
      <c r="L3" s="115">
        <f t="shared" si="0"/>
        <v>0</v>
      </c>
      <c r="M3" s="115">
        <f t="shared" si="0"/>
        <v>0</v>
      </c>
      <c r="N3" s="115">
        <f>SUM(B3:M3)</f>
        <v>50000</v>
      </c>
    </row>
    <row r="4" spans="1:14" x14ac:dyDescent="0.2">
      <c r="A4" s="64" t="s">
        <v>138</v>
      </c>
      <c r="B4" s="115">
        <f t="shared" ref="B4:N4" si="1">SUM(B2:B3)</f>
        <v>3700.04</v>
      </c>
      <c r="C4" s="115">
        <f t="shared" si="1"/>
        <v>0</v>
      </c>
      <c r="D4" s="115">
        <f t="shared" si="1"/>
        <v>0</v>
      </c>
      <c r="E4" s="115">
        <f t="shared" si="1"/>
        <v>50000</v>
      </c>
      <c r="F4" s="115">
        <f t="shared" si="1"/>
        <v>0</v>
      </c>
      <c r="G4" s="115">
        <f t="shared" si="1"/>
        <v>0</v>
      </c>
      <c r="H4" s="115">
        <f t="shared" si="1"/>
        <v>0</v>
      </c>
      <c r="I4" s="115">
        <f t="shared" si="1"/>
        <v>0</v>
      </c>
      <c r="J4" s="115">
        <f t="shared" si="1"/>
        <v>0</v>
      </c>
      <c r="K4" s="115">
        <f t="shared" si="1"/>
        <v>0</v>
      </c>
      <c r="L4" s="115">
        <f t="shared" si="1"/>
        <v>0</v>
      </c>
      <c r="M4" s="115">
        <f t="shared" si="1"/>
        <v>0</v>
      </c>
      <c r="N4" s="115">
        <f t="shared" si="1"/>
        <v>53700.04</v>
      </c>
    </row>
    <row r="5" spans="1:14" x14ac:dyDescent="0.2">
      <c r="A5" s="64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4" x14ac:dyDescent="0.2">
      <c r="A6" s="196" t="s">
        <v>234</v>
      </c>
      <c r="B6" s="116">
        <v>0</v>
      </c>
      <c r="C6" s="116">
        <v>0</v>
      </c>
      <c r="D6" s="116">
        <v>0</v>
      </c>
      <c r="E6" s="116">
        <v>0</v>
      </c>
      <c r="F6" s="116">
        <v>0</v>
      </c>
      <c r="G6" s="116">
        <v>0</v>
      </c>
      <c r="H6" s="116">
        <v>0</v>
      </c>
      <c r="I6" s="116">
        <v>0</v>
      </c>
      <c r="J6" s="116">
        <v>0</v>
      </c>
      <c r="K6" s="116">
        <v>0</v>
      </c>
      <c r="L6" s="116">
        <v>0</v>
      </c>
      <c r="M6" s="116">
        <v>0</v>
      </c>
      <c r="N6" s="116">
        <f>SUM(B6:M6)</f>
        <v>0</v>
      </c>
    </row>
    <row r="7" spans="1:14" x14ac:dyDescent="0.2">
      <c r="A7" s="196" t="s">
        <v>235</v>
      </c>
      <c r="B7" s="116">
        <v>0</v>
      </c>
      <c r="C7" s="116">
        <v>0</v>
      </c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f t="shared" ref="N7:N31" si="2">SUM(B7:M7)</f>
        <v>0</v>
      </c>
    </row>
    <row r="8" spans="1:14" x14ac:dyDescent="0.2">
      <c r="A8" s="196" t="s">
        <v>233</v>
      </c>
      <c r="B8" s="116">
        <v>0</v>
      </c>
      <c r="C8" s="116">
        <v>0</v>
      </c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f t="shared" si="2"/>
        <v>0</v>
      </c>
    </row>
    <row r="9" spans="1:14" x14ac:dyDescent="0.2">
      <c r="A9" s="196" t="s">
        <v>236</v>
      </c>
      <c r="B9" s="116">
        <v>0</v>
      </c>
      <c r="C9" s="116">
        <v>0</v>
      </c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f t="shared" si="2"/>
        <v>0</v>
      </c>
    </row>
    <row r="10" spans="1:14" x14ac:dyDescent="0.2">
      <c r="A10" s="196" t="s">
        <v>238</v>
      </c>
      <c r="B10" s="116">
        <v>0</v>
      </c>
      <c r="C10" s="116">
        <v>0</v>
      </c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f t="shared" si="2"/>
        <v>0</v>
      </c>
    </row>
    <row r="11" spans="1:14" x14ac:dyDescent="0.2">
      <c r="A11" s="196" t="s">
        <v>237</v>
      </c>
      <c r="B11" s="116">
        <v>0</v>
      </c>
      <c r="C11" s="116">
        <v>0</v>
      </c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f t="shared" si="2"/>
        <v>0</v>
      </c>
    </row>
    <row r="12" spans="1:14" x14ac:dyDescent="0.2">
      <c r="A12" s="196" t="s">
        <v>225</v>
      </c>
      <c r="B12" s="116">
        <v>0</v>
      </c>
      <c r="C12" s="116">
        <v>0</v>
      </c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f t="shared" si="2"/>
        <v>0</v>
      </c>
    </row>
    <row r="13" spans="1:14" x14ac:dyDescent="0.2">
      <c r="A13" s="196" t="s">
        <v>232</v>
      </c>
      <c r="B13" s="116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f t="shared" si="2"/>
        <v>0</v>
      </c>
    </row>
    <row r="14" spans="1:14" x14ac:dyDescent="0.2">
      <c r="A14" s="196" t="s">
        <v>218</v>
      </c>
      <c r="B14" s="116">
        <v>0</v>
      </c>
      <c r="C14" s="116">
        <v>0</v>
      </c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f t="shared" si="2"/>
        <v>0</v>
      </c>
    </row>
    <row r="15" spans="1:14" x14ac:dyDescent="0.2">
      <c r="A15" s="196" t="s">
        <v>230</v>
      </c>
      <c r="B15" s="116">
        <v>0</v>
      </c>
      <c r="C15" s="116">
        <v>0</v>
      </c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f t="shared" si="2"/>
        <v>0</v>
      </c>
    </row>
    <row r="16" spans="1:14" x14ac:dyDescent="0.2">
      <c r="A16" s="196" t="s">
        <v>215</v>
      </c>
      <c r="B16" s="116">
        <v>0</v>
      </c>
      <c r="C16" s="116">
        <v>0</v>
      </c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f t="shared" si="2"/>
        <v>0</v>
      </c>
    </row>
    <row r="17" spans="1:14" x14ac:dyDescent="0.2">
      <c r="A17" s="196" t="s">
        <v>216</v>
      </c>
      <c r="B17" s="116">
        <v>0</v>
      </c>
      <c r="C17" s="116">
        <v>0</v>
      </c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f t="shared" si="2"/>
        <v>0</v>
      </c>
    </row>
    <row r="18" spans="1:14" x14ac:dyDescent="0.2">
      <c r="A18" s="196" t="s">
        <v>219</v>
      </c>
      <c r="B18" s="116">
        <v>0</v>
      </c>
      <c r="C18" s="116">
        <v>0</v>
      </c>
      <c r="D18" s="116">
        <v>259.12</v>
      </c>
      <c r="E18" s="116">
        <v>857.85</v>
      </c>
      <c r="F18" s="116">
        <v>0</v>
      </c>
      <c r="G18" s="116">
        <v>354.22</v>
      </c>
      <c r="H18" s="116">
        <v>385.95</v>
      </c>
      <c r="I18" s="116">
        <v>1590.15</v>
      </c>
      <c r="J18" s="116">
        <v>0</v>
      </c>
      <c r="K18" s="116">
        <f>62.99+410.02+286.38+52.55+2331.71</f>
        <v>3143.65</v>
      </c>
      <c r="L18" s="360">
        <v>18731.150000000001</v>
      </c>
      <c r="M18" s="116">
        <v>0</v>
      </c>
      <c r="N18" s="116">
        <f t="shared" si="2"/>
        <v>25322.090000000004</v>
      </c>
    </row>
    <row r="19" spans="1:14" x14ac:dyDescent="0.2">
      <c r="A19" s="196" t="s">
        <v>220</v>
      </c>
      <c r="B19" s="116">
        <v>0</v>
      </c>
      <c r="C19" s="116">
        <v>0</v>
      </c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f t="shared" si="2"/>
        <v>0</v>
      </c>
    </row>
    <row r="20" spans="1:14" x14ac:dyDescent="0.2">
      <c r="A20" s="196" t="s">
        <v>221</v>
      </c>
      <c r="B20" s="116">
        <v>0</v>
      </c>
      <c r="C20" s="116">
        <v>0</v>
      </c>
      <c r="D20" s="116">
        <v>740.16</v>
      </c>
      <c r="E20" s="116">
        <v>3036.2</v>
      </c>
      <c r="F20" s="116">
        <v>1514.72</v>
      </c>
      <c r="G20" s="116">
        <v>640.41</v>
      </c>
      <c r="H20" s="116">
        <v>1700.69</v>
      </c>
      <c r="I20" s="116">
        <v>774.25</v>
      </c>
      <c r="J20" s="116">
        <v>4110.29</v>
      </c>
      <c r="K20" s="116">
        <f>107.74+5.89+9.08</f>
        <v>122.71</v>
      </c>
      <c r="L20" s="116">
        <v>0</v>
      </c>
      <c r="M20" s="116">
        <v>0</v>
      </c>
      <c r="N20" s="116">
        <f t="shared" si="2"/>
        <v>12639.43</v>
      </c>
    </row>
    <row r="21" spans="1:14" x14ac:dyDescent="0.2">
      <c r="A21" s="196" t="s">
        <v>222</v>
      </c>
      <c r="B21" s="116">
        <v>0</v>
      </c>
      <c r="C21" s="116">
        <v>0</v>
      </c>
      <c r="D21" s="116">
        <v>0</v>
      </c>
      <c r="E21" s="116">
        <v>0</v>
      </c>
      <c r="F21" s="116">
        <v>0</v>
      </c>
      <c r="G21" s="116">
        <v>17.18</v>
      </c>
      <c r="H21" s="116">
        <v>0</v>
      </c>
      <c r="I21" s="116">
        <v>1054.0899999999999</v>
      </c>
      <c r="J21" s="116">
        <v>0</v>
      </c>
      <c r="K21" s="116">
        <v>322.02</v>
      </c>
      <c r="L21" s="360">
        <v>44.31</v>
      </c>
      <c r="M21" s="116">
        <v>0</v>
      </c>
      <c r="N21" s="116">
        <f t="shared" si="2"/>
        <v>1437.6</v>
      </c>
    </row>
    <row r="22" spans="1:14" x14ac:dyDescent="0.2">
      <c r="A22" s="196" t="s">
        <v>223</v>
      </c>
      <c r="B22" s="116">
        <v>0</v>
      </c>
      <c r="C22" s="116">
        <v>0</v>
      </c>
      <c r="D22" s="116">
        <v>881.67</v>
      </c>
      <c r="E22" s="116">
        <v>0</v>
      </c>
      <c r="F22" s="116">
        <v>0</v>
      </c>
      <c r="G22" s="116">
        <v>2817.94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f t="shared" si="2"/>
        <v>3699.61</v>
      </c>
    </row>
    <row r="23" spans="1:14" x14ac:dyDescent="0.2">
      <c r="A23" s="196" t="s">
        <v>224</v>
      </c>
      <c r="B23" s="116">
        <v>0</v>
      </c>
      <c r="C23" s="116">
        <v>0</v>
      </c>
      <c r="D23" s="116">
        <v>0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f t="shared" si="2"/>
        <v>0</v>
      </c>
    </row>
    <row r="24" spans="1:14" x14ac:dyDescent="0.2">
      <c r="A24" s="196" t="s">
        <v>296</v>
      </c>
      <c r="B24" s="116">
        <v>0</v>
      </c>
      <c r="C24" s="116">
        <v>0</v>
      </c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6">
        <f t="shared" si="2"/>
        <v>0</v>
      </c>
    </row>
    <row r="25" spans="1:14" x14ac:dyDescent="0.2">
      <c r="A25" s="196" t="s">
        <v>226</v>
      </c>
      <c r="B25" s="116">
        <v>0</v>
      </c>
      <c r="C25" s="116">
        <v>0</v>
      </c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f t="shared" si="2"/>
        <v>0</v>
      </c>
    </row>
    <row r="26" spans="1:14" x14ac:dyDescent="0.2">
      <c r="A26" s="196" t="s">
        <v>227</v>
      </c>
      <c r="B26" s="116">
        <v>0</v>
      </c>
      <c r="C26" s="116">
        <v>0</v>
      </c>
      <c r="D26" s="116">
        <v>0</v>
      </c>
      <c r="E26" s="116">
        <v>0</v>
      </c>
      <c r="F26" s="116">
        <v>0</v>
      </c>
      <c r="G26" s="116">
        <v>662.47</v>
      </c>
      <c r="H26" s="116">
        <v>1119.73</v>
      </c>
      <c r="I26" s="116">
        <v>127.95</v>
      </c>
      <c r="J26" s="116">
        <v>1138.8699999999999</v>
      </c>
      <c r="K26" s="116">
        <v>0</v>
      </c>
      <c r="L26" s="116">
        <v>0</v>
      </c>
      <c r="M26" s="116">
        <v>0</v>
      </c>
      <c r="N26" s="116">
        <f t="shared" si="2"/>
        <v>3049.02</v>
      </c>
    </row>
    <row r="27" spans="1:14" x14ac:dyDescent="0.2">
      <c r="A27" s="196" t="s">
        <v>228</v>
      </c>
      <c r="B27" s="116">
        <v>0</v>
      </c>
      <c r="C27" s="116">
        <v>0</v>
      </c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f t="shared" si="2"/>
        <v>0</v>
      </c>
    </row>
    <row r="28" spans="1:14" x14ac:dyDescent="0.2">
      <c r="A28" s="196" t="s">
        <v>229</v>
      </c>
      <c r="B28" s="116">
        <v>0</v>
      </c>
      <c r="C28" s="116">
        <v>0</v>
      </c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f t="shared" si="2"/>
        <v>0</v>
      </c>
    </row>
    <row r="29" spans="1:14" x14ac:dyDescent="0.2">
      <c r="A29" s="196" t="s">
        <v>231</v>
      </c>
      <c r="B29" s="116">
        <v>0</v>
      </c>
      <c r="C29" s="116">
        <v>0</v>
      </c>
      <c r="D29" s="116">
        <v>86.95</v>
      </c>
      <c r="E29" s="116">
        <v>427.64</v>
      </c>
      <c r="F29" s="116">
        <v>1488.3</v>
      </c>
      <c r="G29" s="116">
        <v>321.36</v>
      </c>
      <c r="H29" s="116">
        <v>995.2</v>
      </c>
      <c r="I29" s="116">
        <v>21.45</v>
      </c>
      <c r="J29" s="116">
        <v>2780.28</v>
      </c>
      <c r="K29" s="116">
        <v>0</v>
      </c>
      <c r="L29" s="116">
        <v>0</v>
      </c>
      <c r="M29" s="116">
        <v>0</v>
      </c>
      <c r="N29" s="116">
        <f t="shared" si="2"/>
        <v>6121.18</v>
      </c>
    </row>
    <row r="30" spans="1:14" x14ac:dyDescent="0.2">
      <c r="A30" s="196" t="s">
        <v>217</v>
      </c>
      <c r="B30" s="116">
        <v>0</v>
      </c>
      <c r="C30" s="116">
        <v>0</v>
      </c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f t="shared" si="2"/>
        <v>0</v>
      </c>
    </row>
    <row r="31" spans="1:14" x14ac:dyDescent="0.2">
      <c r="A31" s="65" t="s">
        <v>139</v>
      </c>
      <c r="B31" s="116">
        <f>SUM(B6:B30)</f>
        <v>0</v>
      </c>
      <c r="C31" s="116">
        <f>SUM(C6:C30)</f>
        <v>0</v>
      </c>
      <c r="D31" s="116">
        <f t="shared" ref="D31:M31" si="3">SUM(D6:D30)</f>
        <v>1967.8999999999999</v>
      </c>
      <c r="E31" s="116">
        <f t="shared" si="3"/>
        <v>4321.6899999999996</v>
      </c>
      <c r="F31" s="116">
        <f t="shared" si="3"/>
        <v>3003.02</v>
      </c>
      <c r="G31" s="116">
        <f t="shared" si="3"/>
        <v>4813.58</v>
      </c>
      <c r="H31" s="116">
        <f t="shared" si="3"/>
        <v>4201.57</v>
      </c>
      <c r="I31" s="116">
        <f t="shared" si="3"/>
        <v>3567.8899999999994</v>
      </c>
      <c r="J31" s="116">
        <f t="shared" si="3"/>
        <v>8029.4400000000005</v>
      </c>
      <c r="K31" s="116">
        <f t="shared" si="3"/>
        <v>3588.38</v>
      </c>
      <c r="L31" s="116">
        <f t="shared" si="3"/>
        <v>18775.460000000003</v>
      </c>
      <c r="M31" s="116">
        <f t="shared" si="3"/>
        <v>0</v>
      </c>
      <c r="N31" s="116">
        <f t="shared" si="2"/>
        <v>52268.929999999993</v>
      </c>
    </row>
    <row r="32" spans="1:14" x14ac:dyDescent="0.2">
      <c r="A32" s="129" t="s">
        <v>258</v>
      </c>
      <c r="B32" s="147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9"/>
      <c r="N32" s="116">
        <f>N4-N31</f>
        <v>1431.1100000000079</v>
      </c>
    </row>
  </sheetData>
  <sortState ref="A6:A30">
    <sortCondition ref="A6:A30"/>
  </sortState>
  <printOptions horizontalCentered="1" gridLines="1"/>
  <pageMargins left="0" right="0" top="0.75" bottom="0" header="0.3" footer="0.3"/>
  <pageSetup scale="80" orientation="landscape" r:id="rId1"/>
  <headerFooter>
    <oddHeader>&amp;LElectrical Engineering Department&amp;C Budget and Expenditure Projection 2016-17
&amp;R&amp;A</oddHeader>
    <oddFooter>&amp;R&amp;8&amp;D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3"/>
  <sheetViews>
    <sheetView workbookViewId="0">
      <selection activeCell="C57" sqref="C57"/>
    </sheetView>
  </sheetViews>
  <sheetFormatPr defaultRowHeight="12.75" x14ac:dyDescent="0.2"/>
  <cols>
    <col min="1" max="1" width="7" customWidth="1"/>
    <col min="2" max="2" width="7" style="102" bestFit="1" customWidth="1"/>
    <col min="3" max="3" width="34.28515625" bestFit="1" customWidth="1"/>
    <col min="4" max="4" width="10.7109375" style="58" bestFit="1" customWidth="1"/>
    <col min="5" max="9" width="11.42578125" style="58" bestFit="1" customWidth="1"/>
    <col min="10" max="10" width="12.42578125" style="58" bestFit="1" customWidth="1"/>
  </cols>
  <sheetData>
    <row r="1" spans="1:10" s="83" customFormat="1" ht="25.5" x14ac:dyDescent="0.2">
      <c r="A1" s="83" t="s">
        <v>152</v>
      </c>
      <c r="B1" s="101" t="s">
        <v>153</v>
      </c>
      <c r="C1" s="83" t="s">
        <v>154</v>
      </c>
      <c r="D1" s="84" t="s">
        <v>130</v>
      </c>
      <c r="E1" s="84" t="s">
        <v>131</v>
      </c>
      <c r="F1" s="84" t="s">
        <v>132</v>
      </c>
      <c r="G1" s="84" t="s">
        <v>133</v>
      </c>
      <c r="H1" s="84" t="s">
        <v>15</v>
      </c>
      <c r="I1" s="84" t="s">
        <v>134</v>
      </c>
      <c r="J1" s="84" t="s">
        <v>254</v>
      </c>
    </row>
    <row r="2" spans="1:10" x14ac:dyDescent="0.2">
      <c r="A2" t="s">
        <v>155</v>
      </c>
      <c r="B2" s="102">
        <v>110300</v>
      </c>
      <c r="C2" t="s">
        <v>166</v>
      </c>
      <c r="D2" s="58">
        <v>6247</v>
      </c>
      <c r="E2" s="58">
        <v>6247</v>
      </c>
      <c r="F2" s="58">
        <f>E2</f>
        <v>6247</v>
      </c>
      <c r="G2" s="155">
        <f>F2</f>
        <v>6247</v>
      </c>
      <c r="H2" s="155">
        <f>G2</f>
        <v>6247</v>
      </c>
      <c r="I2" s="155">
        <f>H2</f>
        <v>6247</v>
      </c>
    </row>
    <row r="3" spans="1:10" x14ac:dyDescent="0.2">
      <c r="C3" t="s">
        <v>255</v>
      </c>
      <c r="D3" s="58">
        <f t="shared" ref="D3:I3" si="0">SUM(D2)</f>
        <v>6247</v>
      </c>
      <c r="E3" s="58">
        <f t="shared" si="0"/>
        <v>6247</v>
      </c>
      <c r="F3" s="58">
        <f t="shared" si="0"/>
        <v>6247</v>
      </c>
      <c r="G3" s="155">
        <f t="shared" si="0"/>
        <v>6247</v>
      </c>
      <c r="H3" s="155">
        <f t="shared" si="0"/>
        <v>6247</v>
      </c>
      <c r="I3" s="155">
        <f t="shared" si="0"/>
        <v>6247</v>
      </c>
      <c r="J3" s="58">
        <f>SUM(D3:I3)</f>
        <v>37482</v>
      </c>
    </row>
    <row r="4" spans="1:10" x14ac:dyDescent="0.2">
      <c r="A4" t="s">
        <v>155</v>
      </c>
      <c r="B4" s="102">
        <v>110300</v>
      </c>
      <c r="C4" t="s">
        <v>167</v>
      </c>
      <c r="D4" s="58">
        <v>385.26</v>
      </c>
      <c r="E4" s="58">
        <f>D4</f>
        <v>385.26</v>
      </c>
      <c r="F4" s="58">
        <f>E4</f>
        <v>385.26</v>
      </c>
      <c r="G4" s="155">
        <f>F4</f>
        <v>385.26</v>
      </c>
      <c r="H4" s="155">
        <f>G4</f>
        <v>385.26</v>
      </c>
      <c r="I4" s="155">
        <f>H4</f>
        <v>385.26</v>
      </c>
      <c r="J4" s="58">
        <f>SUM(D4:I4)</f>
        <v>2311.56</v>
      </c>
    </row>
    <row r="5" spans="1:10" x14ac:dyDescent="0.2">
      <c r="A5" t="s">
        <v>155</v>
      </c>
      <c r="B5" s="102">
        <v>110300</v>
      </c>
      <c r="C5" t="s">
        <v>168</v>
      </c>
      <c r="D5" s="58">
        <v>47.31</v>
      </c>
      <c r="E5" s="58">
        <f t="shared" ref="E5:I11" si="1">D5</f>
        <v>47.31</v>
      </c>
      <c r="F5" s="58">
        <f t="shared" si="1"/>
        <v>47.31</v>
      </c>
      <c r="G5" s="155">
        <f t="shared" si="1"/>
        <v>47.31</v>
      </c>
      <c r="H5" s="155">
        <f t="shared" si="1"/>
        <v>47.31</v>
      </c>
      <c r="I5" s="155">
        <f t="shared" si="1"/>
        <v>47.31</v>
      </c>
      <c r="J5" s="58">
        <f t="shared" ref="J5:J11" si="2">SUM(D5:I5)</f>
        <v>283.86</v>
      </c>
    </row>
    <row r="6" spans="1:10" x14ac:dyDescent="0.2">
      <c r="A6" t="s">
        <v>155</v>
      </c>
      <c r="B6" s="102">
        <v>110300</v>
      </c>
      <c r="C6" t="s">
        <v>169</v>
      </c>
      <c r="D6" s="58">
        <v>644.12</v>
      </c>
      <c r="E6" s="58">
        <f t="shared" si="1"/>
        <v>644.12</v>
      </c>
      <c r="F6" s="58">
        <f t="shared" si="1"/>
        <v>644.12</v>
      </c>
      <c r="G6" s="155">
        <f t="shared" si="1"/>
        <v>644.12</v>
      </c>
      <c r="H6" s="155">
        <f t="shared" si="1"/>
        <v>644.12</v>
      </c>
      <c r="I6" s="155">
        <f t="shared" si="1"/>
        <v>644.12</v>
      </c>
      <c r="J6" s="58">
        <f t="shared" si="2"/>
        <v>3864.72</v>
      </c>
    </row>
    <row r="7" spans="1:10" x14ac:dyDescent="0.2">
      <c r="A7" t="s">
        <v>155</v>
      </c>
      <c r="B7" s="102">
        <v>110300</v>
      </c>
      <c r="C7" t="s">
        <v>170</v>
      </c>
      <c r="D7" s="58">
        <v>1324.55</v>
      </c>
      <c r="E7" s="58">
        <f t="shared" si="1"/>
        <v>1324.55</v>
      </c>
      <c r="F7" s="58">
        <f t="shared" si="1"/>
        <v>1324.55</v>
      </c>
      <c r="G7" s="155">
        <f t="shared" si="1"/>
        <v>1324.55</v>
      </c>
      <c r="H7" s="155">
        <f t="shared" si="1"/>
        <v>1324.55</v>
      </c>
      <c r="I7" s="155">
        <f t="shared" si="1"/>
        <v>1324.55</v>
      </c>
      <c r="J7" s="58">
        <f t="shared" si="2"/>
        <v>7947.3</v>
      </c>
    </row>
    <row r="8" spans="1:10" x14ac:dyDescent="0.2">
      <c r="A8" t="s">
        <v>155</v>
      </c>
      <c r="B8" s="102">
        <v>110300</v>
      </c>
      <c r="C8" t="s">
        <v>252</v>
      </c>
      <c r="D8" s="58">
        <v>7.5</v>
      </c>
      <c r="E8" s="58">
        <f t="shared" si="1"/>
        <v>7.5</v>
      </c>
      <c r="F8" s="58">
        <f t="shared" si="1"/>
        <v>7.5</v>
      </c>
      <c r="G8" s="155">
        <f t="shared" si="1"/>
        <v>7.5</v>
      </c>
      <c r="H8" s="155">
        <f t="shared" si="1"/>
        <v>7.5</v>
      </c>
      <c r="I8" s="155">
        <f t="shared" si="1"/>
        <v>7.5</v>
      </c>
      <c r="J8" s="58">
        <f t="shared" si="2"/>
        <v>45</v>
      </c>
    </row>
    <row r="9" spans="1:10" x14ac:dyDescent="0.2">
      <c r="A9" t="s">
        <v>155</v>
      </c>
      <c r="B9" s="102">
        <v>110300</v>
      </c>
      <c r="C9" t="s">
        <v>171</v>
      </c>
      <c r="D9" s="58">
        <v>90.1</v>
      </c>
      <c r="E9" s="58">
        <f t="shared" si="1"/>
        <v>90.1</v>
      </c>
      <c r="F9" s="58">
        <f t="shared" si="1"/>
        <v>90.1</v>
      </c>
      <c r="G9" s="155">
        <f t="shared" si="1"/>
        <v>90.1</v>
      </c>
      <c r="H9" s="155">
        <f t="shared" si="1"/>
        <v>90.1</v>
      </c>
      <c r="I9" s="155">
        <f t="shared" si="1"/>
        <v>90.1</v>
      </c>
      <c r="J9" s="58">
        <f t="shared" si="2"/>
        <v>540.6</v>
      </c>
    </row>
    <row r="10" spans="1:10" x14ac:dyDescent="0.2">
      <c r="A10" t="s">
        <v>155</v>
      </c>
      <c r="B10" s="102">
        <v>110300</v>
      </c>
      <c r="C10" t="s">
        <v>172</v>
      </c>
      <c r="D10" s="58">
        <v>7.5</v>
      </c>
      <c r="E10" s="58">
        <f t="shared" si="1"/>
        <v>7.5</v>
      </c>
      <c r="F10" s="58">
        <f t="shared" si="1"/>
        <v>7.5</v>
      </c>
      <c r="G10" s="155">
        <f t="shared" si="1"/>
        <v>7.5</v>
      </c>
      <c r="H10" s="155">
        <f t="shared" si="1"/>
        <v>7.5</v>
      </c>
      <c r="I10" s="155">
        <f t="shared" si="1"/>
        <v>7.5</v>
      </c>
      <c r="J10" s="58">
        <f t="shared" si="2"/>
        <v>45</v>
      </c>
    </row>
    <row r="11" spans="1:10" x14ac:dyDescent="0.2">
      <c r="A11" t="s">
        <v>155</v>
      </c>
      <c r="B11" s="102">
        <v>110300</v>
      </c>
      <c r="C11" t="s">
        <v>253</v>
      </c>
      <c r="D11" s="58">
        <v>4.0999999999999996</v>
      </c>
      <c r="E11" s="58">
        <f t="shared" si="1"/>
        <v>4.0999999999999996</v>
      </c>
      <c r="F11" s="58">
        <f t="shared" si="1"/>
        <v>4.0999999999999996</v>
      </c>
      <c r="G11" s="155">
        <f t="shared" si="1"/>
        <v>4.0999999999999996</v>
      </c>
      <c r="H11" s="155">
        <f t="shared" si="1"/>
        <v>4.0999999999999996</v>
      </c>
      <c r="I11" s="155">
        <f t="shared" si="1"/>
        <v>4.0999999999999996</v>
      </c>
      <c r="J11" s="58">
        <f t="shared" si="2"/>
        <v>24.6</v>
      </c>
    </row>
    <row r="12" spans="1:10" x14ac:dyDescent="0.2">
      <c r="C12" t="s">
        <v>256</v>
      </c>
      <c r="D12" s="58">
        <f t="shared" ref="D12:J12" si="3">SUM(D4:D11)</f>
        <v>2510.4399999999996</v>
      </c>
      <c r="E12" s="58">
        <f t="shared" si="3"/>
        <v>2510.4399999999996</v>
      </c>
      <c r="F12" s="58">
        <f t="shared" si="3"/>
        <v>2510.4399999999996</v>
      </c>
      <c r="G12" s="155">
        <f t="shared" si="3"/>
        <v>2510.4399999999996</v>
      </c>
      <c r="H12" s="155">
        <f t="shared" si="3"/>
        <v>2510.4399999999996</v>
      </c>
      <c r="I12" s="155">
        <f t="shared" si="3"/>
        <v>2510.4399999999996</v>
      </c>
      <c r="J12" s="58">
        <f t="shared" si="3"/>
        <v>15062.64</v>
      </c>
    </row>
    <row r="13" spans="1:10" x14ac:dyDescent="0.2">
      <c r="C13" t="s">
        <v>257</v>
      </c>
      <c r="D13" s="58">
        <f>D3+D12</f>
        <v>8757.4399999999987</v>
      </c>
      <c r="E13" s="58">
        <f t="shared" ref="E13:J13" si="4">E3+E12</f>
        <v>8757.4399999999987</v>
      </c>
      <c r="F13" s="58">
        <f t="shared" si="4"/>
        <v>8757.4399999999987</v>
      </c>
      <c r="G13" s="155">
        <f t="shared" si="4"/>
        <v>8757.4399999999987</v>
      </c>
      <c r="H13" s="155">
        <f t="shared" si="4"/>
        <v>8757.4399999999987</v>
      </c>
      <c r="I13" s="155">
        <f t="shared" si="4"/>
        <v>8757.4399999999987</v>
      </c>
      <c r="J13" s="58">
        <f t="shared" si="4"/>
        <v>52544.639999999999</v>
      </c>
    </row>
  </sheetData>
  <printOptions horizontalCentered="1" gridLines="1"/>
  <pageMargins left="0" right="0" top="0.75" bottom="0" header="0.3" footer="0.3"/>
  <pageSetup scale="80" orientation="portrait" r:id="rId1"/>
  <headerFooter>
    <oddHeader>&amp;LElectrical Engineering Department&amp;C Budget and Expenditure Projection 2015-16
&amp;R&amp;A</oddHeader>
    <oddFooter>&amp;R&amp;8&amp;D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C57" sqref="C57"/>
    </sheetView>
  </sheetViews>
  <sheetFormatPr defaultRowHeight="12.75" x14ac:dyDescent="0.2"/>
  <cols>
    <col min="1" max="1" width="15" style="83" bestFit="1" customWidth="1"/>
    <col min="2" max="2" width="9.7109375" style="58" bestFit="1" customWidth="1"/>
    <col min="3" max="3" width="4.28515625" style="58" bestFit="1" customWidth="1"/>
    <col min="4" max="4" width="9.7109375" style="58" bestFit="1" customWidth="1"/>
    <col min="5" max="5" width="10.28515625" style="58" bestFit="1" customWidth="1"/>
    <col min="6" max="9" width="9.140625" style="58"/>
    <col min="10" max="10" width="9.7109375" style="58" bestFit="1" customWidth="1"/>
    <col min="11" max="11" width="10.28515625" style="58" bestFit="1" customWidth="1"/>
    <col min="12" max="13" width="9.140625" style="58"/>
    <col min="14" max="14" width="10.7109375" style="58" bestFit="1" customWidth="1"/>
    <col min="15" max="15" width="10.7109375" bestFit="1" customWidth="1"/>
  </cols>
  <sheetData>
    <row r="1" spans="1:15" x14ac:dyDescent="0.2">
      <c r="C1" s="356" t="s">
        <v>6</v>
      </c>
      <c r="D1" s="356" t="s">
        <v>125</v>
      </c>
      <c r="E1" s="356" t="s">
        <v>126</v>
      </c>
      <c r="F1" s="356" t="s">
        <v>127</v>
      </c>
      <c r="G1" s="356" t="s">
        <v>128</v>
      </c>
      <c r="H1" s="356" t="s">
        <v>129</v>
      </c>
      <c r="I1" s="356" t="s">
        <v>130</v>
      </c>
      <c r="J1" s="356" t="s">
        <v>131</v>
      </c>
      <c r="K1" s="356" t="s">
        <v>132</v>
      </c>
      <c r="L1" s="356" t="s">
        <v>133</v>
      </c>
      <c r="M1" s="356" t="s">
        <v>15</v>
      </c>
      <c r="N1" s="356" t="s">
        <v>134</v>
      </c>
    </row>
    <row r="2" spans="1:15" x14ac:dyDescent="0.2"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</row>
    <row r="3" spans="1:15" ht="25.5" x14ac:dyDescent="0.2">
      <c r="A3" s="140" t="s">
        <v>356</v>
      </c>
      <c r="B3" s="58">
        <f>10200-1114.98</f>
        <v>9085.02</v>
      </c>
      <c r="N3" s="58">
        <f>SUM(B3:M3)</f>
        <v>9085.02</v>
      </c>
    </row>
    <row r="4" spans="1:15" ht="25.5" x14ac:dyDescent="0.2">
      <c r="A4" s="140" t="s">
        <v>357</v>
      </c>
      <c r="J4" s="58">
        <v>2144.63</v>
      </c>
      <c r="N4" s="58">
        <f t="shared" ref="N4:N19" si="0">SUM(B4:M4)</f>
        <v>2144.63</v>
      </c>
    </row>
    <row r="5" spans="1:15" x14ac:dyDescent="0.2">
      <c r="A5" s="140"/>
      <c r="N5" s="58">
        <f>N4+N3</f>
        <v>11229.650000000001</v>
      </c>
      <c r="O5" s="58"/>
    </row>
    <row r="6" spans="1:15" x14ac:dyDescent="0.2">
      <c r="A6" s="140" t="s">
        <v>358</v>
      </c>
      <c r="K6" s="58">
        <v>-1736.15</v>
      </c>
      <c r="N6" s="58">
        <f t="shared" si="0"/>
        <v>-1736.15</v>
      </c>
    </row>
    <row r="7" spans="1:15" x14ac:dyDescent="0.2">
      <c r="N7" s="58">
        <f t="shared" si="0"/>
        <v>0</v>
      </c>
    </row>
    <row r="8" spans="1:15" x14ac:dyDescent="0.2">
      <c r="N8" s="58">
        <f t="shared" si="0"/>
        <v>0</v>
      </c>
    </row>
    <row r="9" spans="1:15" x14ac:dyDescent="0.2">
      <c r="N9" s="58">
        <f t="shared" si="0"/>
        <v>0</v>
      </c>
    </row>
    <row r="10" spans="1:15" x14ac:dyDescent="0.2">
      <c r="N10" s="58">
        <f t="shared" si="0"/>
        <v>0</v>
      </c>
    </row>
    <row r="11" spans="1:15" x14ac:dyDescent="0.2">
      <c r="N11" s="58">
        <f t="shared" si="0"/>
        <v>0</v>
      </c>
    </row>
    <row r="12" spans="1:15" x14ac:dyDescent="0.2">
      <c r="N12" s="58">
        <f t="shared" si="0"/>
        <v>0</v>
      </c>
    </row>
    <row r="13" spans="1:15" x14ac:dyDescent="0.2">
      <c r="N13" s="58">
        <f t="shared" si="0"/>
        <v>0</v>
      </c>
    </row>
    <row r="14" spans="1:15" x14ac:dyDescent="0.2">
      <c r="N14" s="58">
        <f t="shared" si="0"/>
        <v>0</v>
      </c>
    </row>
    <row r="15" spans="1:15" x14ac:dyDescent="0.2">
      <c r="N15" s="58">
        <f t="shared" si="0"/>
        <v>0</v>
      </c>
    </row>
    <row r="16" spans="1:15" x14ac:dyDescent="0.2">
      <c r="N16" s="58">
        <f t="shared" si="0"/>
        <v>0</v>
      </c>
    </row>
    <row r="17" spans="14:14" x14ac:dyDescent="0.2">
      <c r="N17" s="58">
        <f t="shared" si="0"/>
        <v>0</v>
      </c>
    </row>
    <row r="18" spans="14:14" x14ac:dyDescent="0.2">
      <c r="N18" s="58">
        <f t="shared" si="0"/>
        <v>0</v>
      </c>
    </row>
    <row r="19" spans="14:14" x14ac:dyDescent="0.2">
      <c r="N19" s="58">
        <f t="shared" si="0"/>
        <v>0</v>
      </c>
    </row>
    <row r="20" spans="14:14" x14ac:dyDescent="0.2">
      <c r="N20" s="58">
        <f>SUM(N6:N19)</f>
        <v>-1736.15</v>
      </c>
    </row>
    <row r="21" spans="14:14" x14ac:dyDescent="0.2">
      <c r="N21" s="58">
        <f>N5+N20</f>
        <v>9493.5000000000018</v>
      </c>
    </row>
  </sheetData>
  <printOptions horizontalCentered="1"/>
  <pageMargins left="0" right="0" top="0.75" bottom="0" header="0.3" footer="0.3"/>
  <pageSetup orientation="landscape" r:id="rId1"/>
  <headerFooter>
    <oddHeader>&amp;L&amp;D&amp;CGS597&amp;R&amp;A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C57" sqref="C57"/>
    </sheetView>
  </sheetViews>
  <sheetFormatPr defaultRowHeight="12.75" x14ac:dyDescent="0.2"/>
  <cols>
    <col min="1" max="1" width="30.5703125" bestFit="1" customWidth="1"/>
    <col min="2" max="2" width="12.28515625" style="58" bestFit="1" customWidth="1"/>
    <col min="3" max="3" width="10.7109375" style="58" bestFit="1" customWidth="1"/>
    <col min="4" max="4" width="13.42578125" style="58" bestFit="1" customWidth="1"/>
    <col min="5" max="13" width="11.7109375" style="58" bestFit="1" customWidth="1"/>
    <col min="14" max="14" width="13.42578125" style="58" bestFit="1" customWidth="1"/>
  </cols>
  <sheetData>
    <row r="1" spans="1:14" s="83" customFormat="1" x14ac:dyDescent="0.2">
      <c r="A1" s="126"/>
      <c r="B1" s="114" t="s">
        <v>6</v>
      </c>
      <c r="C1" s="114" t="s">
        <v>7</v>
      </c>
      <c r="D1" s="114" t="s">
        <v>8</v>
      </c>
      <c r="E1" s="114" t="s">
        <v>127</v>
      </c>
      <c r="F1" s="114" t="s">
        <v>128</v>
      </c>
      <c r="G1" s="114" t="s">
        <v>129</v>
      </c>
      <c r="H1" s="114" t="s">
        <v>130</v>
      </c>
      <c r="I1" s="114" t="s">
        <v>136</v>
      </c>
      <c r="J1" s="114" t="s">
        <v>132</v>
      </c>
      <c r="K1" s="114" t="s">
        <v>133</v>
      </c>
      <c r="L1" s="114" t="s">
        <v>15</v>
      </c>
      <c r="M1" s="114" t="s">
        <v>134</v>
      </c>
      <c r="N1" s="114" t="s">
        <v>34</v>
      </c>
    </row>
    <row r="2" spans="1:14" x14ac:dyDescent="0.2">
      <c r="A2" s="65" t="s">
        <v>198</v>
      </c>
      <c r="B2" s="115">
        <v>0</v>
      </c>
      <c r="C2" s="115">
        <v>0</v>
      </c>
      <c r="D2" s="115">
        <v>1167609</v>
      </c>
      <c r="E2" s="115">
        <v>0</v>
      </c>
      <c r="F2" s="115">
        <v>0</v>
      </c>
      <c r="G2" s="115">
        <v>0</v>
      </c>
      <c r="H2" s="115">
        <v>0</v>
      </c>
      <c r="I2" s="115">
        <v>0</v>
      </c>
      <c r="J2" s="115">
        <v>0</v>
      </c>
      <c r="K2" s="115">
        <v>0</v>
      </c>
      <c r="L2" s="115">
        <v>0</v>
      </c>
      <c r="M2" s="115">
        <v>0</v>
      </c>
      <c r="N2" s="115">
        <f>SUM(B2:M2)</f>
        <v>1167609</v>
      </c>
    </row>
    <row r="3" spans="1:14" x14ac:dyDescent="0.2">
      <c r="A3" s="65" t="s">
        <v>330</v>
      </c>
      <c r="B3" s="115">
        <v>-199161.83</v>
      </c>
      <c r="C3" s="115">
        <v>0</v>
      </c>
      <c r="D3" s="115">
        <v>0</v>
      </c>
      <c r="E3" s="115">
        <v>0</v>
      </c>
      <c r="F3" s="115">
        <v>0</v>
      </c>
      <c r="G3" s="115">
        <v>0</v>
      </c>
      <c r="H3" s="115">
        <v>0</v>
      </c>
      <c r="I3" s="115">
        <v>0</v>
      </c>
      <c r="J3" s="115">
        <v>0</v>
      </c>
      <c r="K3" s="115">
        <v>0</v>
      </c>
      <c r="L3" s="115">
        <v>0</v>
      </c>
      <c r="M3" s="115">
        <v>0</v>
      </c>
      <c r="N3" s="115">
        <f>SUM(B3:D3)</f>
        <v>-199161.83</v>
      </c>
    </row>
    <row r="4" spans="1:14" x14ac:dyDescent="0.2">
      <c r="A4" s="128" t="s">
        <v>138</v>
      </c>
      <c r="B4" s="115">
        <f>SUM(B2:B3)</f>
        <v>-199161.83</v>
      </c>
      <c r="C4" s="115">
        <f t="shared" ref="C4:M4" si="0">SUM(C2:C3)</f>
        <v>0</v>
      </c>
      <c r="D4" s="115">
        <f t="shared" si="0"/>
        <v>1167609</v>
      </c>
      <c r="E4" s="115">
        <f t="shared" si="0"/>
        <v>0</v>
      </c>
      <c r="F4" s="115">
        <f t="shared" si="0"/>
        <v>0</v>
      </c>
      <c r="G4" s="115">
        <f t="shared" si="0"/>
        <v>0</v>
      </c>
      <c r="H4" s="115">
        <f t="shared" si="0"/>
        <v>0</v>
      </c>
      <c r="I4" s="115">
        <f t="shared" si="0"/>
        <v>0</v>
      </c>
      <c r="J4" s="115">
        <f t="shared" si="0"/>
        <v>0</v>
      </c>
      <c r="K4" s="115">
        <f t="shared" si="0"/>
        <v>0</v>
      </c>
      <c r="L4" s="115">
        <f t="shared" si="0"/>
        <v>0</v>
      </c>
      <c r="M4" s="115">
        <f t="shared" si="0"/>
        <v>0</v>
      </c>
      <c r="N4" s="115">
        <f>SUM(N2:N3)</f>
        <v>968447.17</v>
      </c>
    </row>
    <row r="5" spans="1:14" x14ac:dyDescent="0.2">
      <c r="A5" s="127" t="s">
        <v>201</v>
      </c>
      <c r="B5" s="115">
        <v>57166</v>
      </c>
      <c r="C5" s="115">
        <v>58238</v>
      </c>
      <c r="D5" s="115">
        <v>60733</v>
      </c>
      <c r="E5" s="115">
        <v>52816</v>
      </c>
      <c r="F5" s="115">
        <f>E5</f>
        <v>52816</v>
      </c>
      <c r="G5" s="115">
        <f t="shared" ref="G5:M5" si="1">F5</f>
        <v>52816</v>
      </c>
      <c r="H5" s="115">
        <f t="shared" si="1"/>
        <v>52816</v>
      </c>
      <c r="I5" s="115">
        <f t="shared" si="1"/>
        <v>52816</v>
      </c>
      <c r="J5" s="115">
        <f t="shared" si="1"/>
        <v>52816</v>
      </c>
      <c r="K5" s="115">
        <f t="shared" si="1"/>
        <v>52816</v>
      </c>
      <c r="L5" s="115">
        <f t="shared" si="1"/>
        <v>52816</v>
      </c>
      <c r="M5" s="115">
        <f t="shared" si="1"/>
        <v>52816</v>
      </c>
      <c r="N5" s="115">
        <f>SUM(B5:M5)</f>
        <v>651481</v>
      </c>
    </row>
    <row r="6" spans="1:14" x14ac:dyDescent="0.2">
      <c r="A6" s="127" t="s">
        <v>205</v>
      </c>
      <c r="B6" s="115">
        <v>0</v>
      </c>
      <c r="C6" s="115">
        <v>0</v>
      </c>
      <c r="D6" s="115">
        <v>0</v>
      </c>
      <c r="E6" s="115">
        <v>0</v>
      </c>
      <c r="F6" s="115">
        <f>E6</f>
        <v>0</v>
      </c>
      <c r="G6" s="115">
        <f t="shared" ref="G6:M6" si="2">F6</f>
        <v>0</v>
      </c>
      <c r="H6" s="115">
        <f t="shared" si="2"/>
        <v>0</v>
      </c>
      <c r="I6" s="115">
        <f t="shared" si="2"/>
        <v>0</v>
      </c>
      <c r="J6" s="115">
        <f t="shared" si="2"/>
        <v>0</v>
      </c>
      <c r="K6" s="115">
        <f t="shared" si="2"/>
        <v>0</v>
      </c>
      <c r="L6" s="115">
        <f t="shared" si="2"/>
        <v>0</v>
      </c>
      <c r="M6" s="115">
        <f t="shared" si="2"/>
        <v>0</v>
      </c>
      <c r="N6" s="115">
        <f t="shared" ref="N6:N21" si="3">SUM(B6:M6)</f>
        <v>0</v>
      </c>
    </row>
    <row r="7" spans="1:14" x14ac:dyDescent="0.2">
      <c r="A7" s="129" t="s">
        <v>214</v>
      </c>
      <c r="B7" s="115">
        <v>0</v>
      </c>
      <c r="C7" s="115">
        <v>0</v>
      </c>
      <c r="D7" s="115">
        <v>0</v>
      </c>
      <c r="E7" s="115">
        <v>0</v>
      </c>
      <c r="F7" s="115">
        <f t="shared" ref="F7:M20" si="4">E7</f>
        <v>0</v>
      </c>
      <c r="G7" s="115">
        <f t="shared" si="4"/>
        <v>0</v>
      </c>
      <c r="H7" s="115">
        <f t="shared" si="4"/>
        <v>0</v>
      </c>
      <c r="I7" s="115">
        <f t="shared" si="4"/>
        <v>0</v>
      </c>
      <c r="J7" s="115">
        <f t="shared" si="4"/>
        <v>0</v>
      </c>
      <c r="K7" s="115">
        <f t="shared" si="4"/>
        <v>0</v>
      </c>
      <c r="L7" s="115">
        <f t="shared" si="4"/>
        <v>0</v>
      </c>
      <c r="M7" s="115">
        <f t="shared" si="4"/>
        <v>0</v>
      </c>
      <c r="N7" s="115">
        <f t="shared" si="3"/>
        <v>0</v>
      </c>
    </row>
    <row r="8" spans="1:14" x14ac:dyDescent="0.2">
      <c r="A8" s="127" t="s">
        <v>200</v>
      </c>
      <c r="B8" s="115">
        <v>0</v>
      </c>
      <c r="C8" s="115">
        <v>0</v>
      </c>
      <c r="D8" s="115">
        <v>0</v>
      </c>
      <c r="E8" s="115">
        <v>0</v>
      </c>
      <c r="F8" s="115">
        <f t="shared" si="4"/>
        <v>0</v>
      </c>
      <c r="G8" s="115">
        <f t="shared" si="4"/>
        <v>0</v>
      </c>
      <c r="H8" s="115">
        <f t="shared" si="4"/>
        <v>0</v>
      </c>
      <c r="I8" s="115">
        <f t="shared" si="4"/>
        <v>0</v>
      </c>
      <c r="J8" s="115">
        <f t="shared" si="4"/>
        <v>0</v>
      </c>
      <c r="K8" s="115">
        <f t="shared" si="4"/>
        <v>0</v>
      </c>
      <c r="L8" s="115">
        <f t="shared" si="4"/>
        <v>0</v>
      </c>
      <c r="M8" s="115">
        <f t="shared" si="4"/>
        <v>0</v>
      </c>
      <c r="N8" s="115">
        <f t="shared" si="3"/>
        <v>0</v>
      </c>
    </row>
    <row r="9" spans="1:14" x14ac:dyDescent="0.2">
      <c r="A9" s="65" t="s">
        <v>199</v>
      </c>
      <c r="B9" s="115">
        <v>0</v>
      </c>
      <c r="C9" s="115">
        <v>0</v>
      </c>
      <c r="D9" s="115">
        <v>0</v>
      </c>
      <c r="E9" s="115">
        <v>0</v>
      </c>
      <c r="F9" s="115">
        <f t="shared" si="4"/>
        <v>0</v>
      </c>
      <c r="G9" s="115">
        <f t="shared" si="4"/>
        <v>0</v>
      </c>
      <c r="H9" s="115">
        <f t="shared" si="4"/>
        <v>0</v>
      </c>
      <c r="I9" s="115">
        <f t="shared" si="4"/>
        <v>0</v>
      </c>
      <c r="J9" s="115">
        <f t="shared" si="4"/>
        <v>0</v>
      </c>
      <c r="K9" s="115">
        <f t="shared" si="4"/>
        <v>0</v>
      </c>
      <c r="L9" s="115">
        <f t="shared" si="4"/>
        <v>0</v>
      </c>
      <c r="M9" s="115">
        <f t="shared" si="4"/>
        <v>0</v>
      </c>
      <c r="N9" s="115">
        <f t="shared" si="3"/>
        <v>0</v>
      </c>
    </row>
    <row r="10" spans="1:14" x14ac:dyDescent="0.2">
      <c r="A10" s="127" t="s">
        <v>213</v>
      </c>
      <c r="B10" s="115">
        <v>0</v>
      </c>
      <c r="C10" s="115">
        <v>0</v>
      </c>
      <c r="D10" s="115">
        <v>0</v>
      </c>
      <c r="E10" s="115">
        <v>0</v>
      </c>
      <c r="F10" s="115">
        <f t="shared" si="4"/>
        <v>0</v>
      </c>
      <c r="G10" s="115">
        <f t="shared" si="4"/>
        <v>0</v>
      </c>
      <c r="H10" s="115">
        <f t="shared" si="4"/>
        <v>0</v>
      </c>
      <c r="I10" s="115">
        <f t="shared" si="4"/>
        <v>0</v>
      </c>
      <c r="J10" s="115">
        <f t="shared" si="4"/>
        <v>0</v>
      </c>
      <c r="K10" s="115">
        <f t="shared" si="4"/>
        <v>0</v>
      </c>
      <c r="L10" s="115">
        <f t="shared" si="4"/>
        <v>0</v>
      </c>
      <c r="M10" s="115">
        <f t="shared" si="4"/>
        <v>0</v>
      </c>
      <c r="N10" s="115">
        <f t="shared" si="3"/>
        <v>0</v>
      </c>
    </row>
    <row r="11" spans="1:14" x14ac:dyDescent="0.2">
      <c r="A11" s="127" t="s">
        <v>206</v>
      </c>
      <c r="B11" s="115">
        <v>0</v>
      </c>
      <c r="C11" s="115">
        <v>0</v>
      </c>
      <c r="D11" s="115">
        <v>0</v>
      </c>
      <c r="E11" s="115">
        <v>0</v>
      </c>
      <c r="F11" s="115">
        <f t="shared" si="4"/>
        <v>0</v>
      </c>
      <c r="G11" s="115">
        <f t="shared" si="4"/>
        <v>0</v>
      </c>
      <c r="H11" s="115">
        <f t="shared" si="4"/>
        <v>0</v>
      </c>
      <c r="I11" s="115">
        <f t="shared" si="4"/>
        <v>0</v>
      </c>
      <c r="J11" s="115">
        <f t="shared" si="4"/>
        <v>0</v>
      </c>
      <c r="K11" s="115">
        <f t="shared" si="4"/>
        <v>0</v>
      </c>
      <c r="L11" s="115">
        <f t="shared" si="4"/>
        <v>0</v>
      </c>
      <c r="M11" s="115">
        <f t="shared" si="4"/>
        <v>0</v>
      </c>
      <c r="N11" s="115">
        <f t="shared" si="3"/>
        <v>0</v>
      </c>
    </row>
    <row r="12" spans="1:14" x14ac:dyDescent="0.2">
      <c r="A12" s="127" t="s">
        <v>167</v>
      </c>
      <c r="B12" s="115">
        <v>3455.83</v>
      </c>
      <c r="C12" s="115">
        <v>3522.29</v>
      </c>
      <c r="D12" s="115">
        <v>3676.97</v>
      </c>
      <c r="E12" s="115">
        <v>3203.14</v>
      </c>
      <c r="F12" s="115">
        <f t="shared" si="4"/>
        <v>3203.14</v>
      </c>
      <c r="G12" s="115">
        <v>3177.37</v>
      </c>
      <c r="H12" s="115">
        <f t="shared" si="4"/>
        <v>3177.37</v>
      </c>
      <c r="I12" s="115">
        <f t="shared" si="4"/>
        <v>3177.37</v>
      </c>
      <c r="J12" s="115">
        <f t="shared" si="4"/>
        <v>3177.37</v>
      </c>
      <c r="K12" s="115">
        <f t="shared" si="4"/>
        <v>3177.37</v>
      </c>
      <c r="L12" s="115">
        <f t="shared" si="4"/>
        <v>3177.37</v>
      </c>
      <c r="M12" s="115">
        <f t="shared" si="4"/>
        <v>3177.37</v>
      </c>
      <c r="N12" s="115">
        <f t="shared" si="3"/>
        <v>39302.959999999999</v>
      </c>
    </row>
    <row r="13" spans="1:14" x14ac:dyDescent="0.2">
      <c r="A13" s="127" t="s">
        <v>202</v>
      </c>
      <c r="B13" s="115">
        <v>956.48</v>
      </c>
      <c r="C13" s="115">
        <v>956.48</v>
      </c>
      <c r="D13" s="115">
        <v>956.48</v>
      </c>
      <c r="E13" s="115">
        <v>784.65</v>
      </c>
      <c r="F13" s="115">
        <f t="shared" si="4"/>
        <v>784.65</v>
      </c>
      <c r="G13" s="115">
        <f t="shared" si="4"/>
        <v>784.65</v>
      </c>
      <c r="H13" s="115">
        <f t="shared" si="4"/>
        <v>784.65</v>
      </c>
      <c r="I13" s="115">
        <f t="shared" si="4"/>
        <v>784.65</v>
      </c>
      <c r="J13" s="115">
        <f t="shared" si="4"/>
        <v>784.65</v>
      </c>
      <c r="K13" s="115">
        <f t="shared" si="4"/>
        <v>784.65</v>
      </c>
      <c r="L13" s="115">
        <f t="shared" si="4"/>
        <v>784.65</v>
      </c>
      <c r="M13" s="115">
        <f t="shared" si="4"/>
        <v>784.65</v>
      </c>
      <c r="N13" s="115">
        <f t="shared" si="3"/>
        <v>9931.2899999999972</v>
      </c>
    </row>
    <row r="14" spans="1:14" x14ac:dyDescent="0.2">
      <c r="A14" s="127" t="s">
        <v>203</v>
      </c>
      <c r="B14" s="115">
        <v>10227.459999999999</v>
      </c>
      <c r="C14" s="115">
        <v>10227.459999999999</v>
      </c>
      <c r="D14" s="115">
        <v>10227.459999999999</v>
      </c>
      <c r="E14" s="115">
        <v>8616.8799999999992</v>
      </c>
      <c r="F14" s="115">
        <f t="shared" si="4"/>
        <v>8616.8799999999992</v>
      </c>
      <c r="G14" s="115">
        <v>9309.64</v>
      </c>
      <c r="H14" s="115">
        <f t="shared" si="4"/>
        <v>9309.64</v>
      </c>
      <c r="I14" s="115">
        <f t="shared" si="4"/>
        <v>9309.64</v>
      </c>
      <c r="J14" s="115">
        <f t="shared" si="4"/>
        <v>9309.64</v>
      </c>
      <c r="K14" s="115">
        <f t="shared" si="4"/>
        <v>9309.64</v>
      </c>
      <c r="L14" s="115">
        <f t="shared" si="4"/>
        <v>9309.64</v>
      </c>
      <c r="M14" s="115">
        <f t="shared" si="4"/>
        <v>9309.64</v>
      </c>
      <c r="N14" s="115">
        <f t="shared" si="3"/>
        <v>113083.61999999998</v>
      </c>
    </row>
    <row r="15" spans="1:14" x14ac:dyDescent="0.2">
      <c r="A15" s="127" t="s">
        <v>170</v>
      </c>
      <c r="B15" s="115">
        <v>14377.24</v>
      </c>
      <c r="C15" s="115">
        <v>14646.84</v>
      </c>
      <c r="D15" s="115">
        <v>15274.36</v>
      </c>
      <c r="E15" s="115">
        <v>13283.23</v>
      </c>
      <c r="F15" s="115">
        <f t="shared" si="4"/>
        <v>13283.23</v>
      </c>
      <c r="G15" s="115">
        <f t="shared" si="4"/>
        <v>13283.23</v>
      </c>
      <c r="H15" s="115">
        <f t="shared" si="4"/>
        <v>13283.23</v>
      </c>
      <c r="I15" s="115">
        <f t="shared" si="4"/>
        <v>13283.23</v>
      </c>
      <c r="J15" s="115">
        <f t="shared" si="4"/>
        <v>13283.23</v>
      </c>
      <c r="K15" s="115">
        <f t="shared" si="4"/>
        <v>13283.23</v>
      </c>
      <c r="L15" s="115">
        <f t="shared" si="4"/>
        <v>13283.23</v>
      </c>
      <c r="M15" s="115">
        <f t="shared" si="4"/>
        <v>13283.23</v>
      </c>
      <c r="N15" s="115">
        <f t="shared" si="3"/>
        <v>163847.51</v>
      </c>
    </row>
    <row r="16" spans="1:14" x14ac:dyDescent="0.2">
      <c r="A16" s="127" t="s">
        <v>211</v>
      </c>
      <c r="B16" s="115">
        <v>60</v>
      </c>
      <c r="C16" s="115">
        <v>60</v>
      </c>
      <c r="D16" s="115">
        <v>60</v>
      </c>
      <c r="E16" s="115">
        <v>52.5</v>
      </c>
      <c r="F16" s="115">
        <f t="shared" si="4"/>
        <v>52.5</v>
      </c>
      <c r="G16" s="115">
        <f t="shared" si="4"/>
        <v>52.5</v>
      </c>
      <c r="H16" s="115">
        <f t="shared" si="4"/>
        <v>52.5</v>
      </c>
      <c r="I16" s="115">
        <f t="shared" si="4"/>
        <v>52.5</v>
      </c>
      <c r="J16" s="115">
        <f t="shared" si="4"/>
        <v>52.5</v>
      </c>
      <c r="K16" s="115">
        <f t="shared" si="4"/>
        <v>52.5</v>
      </c>
      <c r="L16" s="115">
        <f t="shared" si="4"/>
        <v>52.5</v>
      </c>
      <c r="M16" s="115">
        <f t="shared" si="4"/>
        <v>52.5</v>
      </c>
      <c r="N16" s="115">
        <f t="shared" si="3"/>
        <v>652.5</v>
      </c>
    </row>
    <row r="17" spans="1:14" x14ac:dyDescent="0.2">
      <c r="A17" s="127" t="s">
        <v>171</v>
      </c>
      <c r="B17" s="115">
        <v>808.22</v>
      </c>
      <c r="C17" s="115">
        <v>823.76</v>
      </c>
      <c r="D17" s="115">
        <v>859.93</v>
      </c>
      <c r="E17" s="115">
        <v>749.12</v>
      </c>
      <c r="F17" s="115">
        <f t="shared" si="4"/>
        <v>749.12</v>
      </c>
      <c r="G17" s="115">
        <v>743.1</v>
      </c>
      <c r="H17" s="115">
        <f t="shared" si="4"/>
        <v>743.1</v>
      </c>
      <c r="I17" s="115">
        <f t="shared" si="4"/>
        <v>743.1</v>
      </c>
      <c r="J17" s="115">
        <f t="shared" si="4"/>
        <v>743.1</v>
      </c>
      <c r="K17" s="115">
        <f t="shared" si="4"/>
        <v>743.1</v>
      </c>
      <c r="L17" s="115">
        <f t="shared" si="4"/>
        <v>743.1</v>
      </c>
      <c r="M17" s="115">
        <f t="shared" si="4"/>
        <v>743.1</v>
      </c>
      <c r="N17" s="115">
        <f t="shared" si="3"/>
        <v>9191.8500000000022</v>
      </c>
    </row>
    <row r="18" spans="1:14" x14ac:dyDescent="0.2">
      <c r="A18" s="127" t="s">
        <v>172</v>
      </c>
      <c r="B18" s="115">
        <v>62.96</v>
      </c>
      <c r="C18" s="115">
        <v>62.96</v>
      </c>
      <c r="D18" s="115">
        <v>62.96</v>
      </c>
      <c r="E18" s="115">
        <v>55.09</v>
      </c>
      <c r="F18" s="115">
        <f t="shared" si="4"/>
        <v>55.09</v>
      </c>
      <c r="G18" s="115">
        <f t="shared" si="4"/>
        <v>55.09</v>
      </c>
      <c r="H18" s="115">
        <f t="shared" si="4"/>
        <v>55.09</v>
      </c>
      <c r="I18" s="115">
        <f t="shared" si="4"/>
        <v>55.09</v>
      </c>
      <c r="J18" s="115">
        <f t="shared" si="4"/>
        <v>55.09</v>
      </c>
      <c r="K18" s="115">
        <f t="shared" si="4"/>
        <v>55.09</v>
      </c>
      <c r="L18" s="115">
        <f t="shared" si="4"/>
        <v>55.09</v>
      </c>
      <c r="M18" s="115">
        <f t="shared" si="4"/>
        <v>55.09</v>
      </c>
      <c r="N18" s="115">
        <f t="shared" si="3"/>
        <v>684.69000000000017</v>
      </c>
    </row>
    <row r="19" spans="1:14" x14ac:dyDescent="0.2">
      <c r="A19" s="127" t="s">
        <v>204</v>
      </c>
      <c r="B19" s="115">
        <v>32.799999999999997</v>
      </c>
      <c r="C19" s="115">
        <v>32.799999999999997</v>
      </c>
      <c r="D19" s="115">
        <v>32.799999999999997</v>
      </c>
      <c r="E19" s="115">
        <v>28.7</v>
      </c>
      <c r="F19" s="115">
        <f t="shared" si="4"/>
        <v>28.7</v>
      </c>
      <c r="G19" s="115">
        <f t="shared" si="4"/>
        <v>28.7</v>
      </c>
      <c r="H19" s="115">
        <f t="shared" si="4"/>
        <v>28.7</v>
      </c>
      <c r="I19" s="115">
        <f t="shared" si="4"/>
        <v>28.7</v>
      </c>
      <c r="J19" s="115">
        <f t="shared" si="4"/>
        <v>28.7</v>
      </c>
      <c r="K19" s="115">
        <f t="shared" si="4"/>
        <v>28.7</v>
      </c>
      <c r="L19" s="115">
        <f t="shared" si="4"/>
        <v>28.7</v>
      </c>
      <c r="M19" s="115">
        <f t="shared" si="4"/>
        <v>28.7</v>
      </c>
      <c r="N19" s="115">
        <f t="shared" si="3"/>
        <v>356.69999999999993</v>
      </c>
    </row>
    <row r="20" spans="1:14" x14ac:dyDescent="0.2">
      <c r="A20" s="127" t="s">
        <v>329</v>
      </c>
      <c r="B20" s="115">
        <v>0</v>
      </c>
      <c r="C20" s="115">
        <v>0</v>
      </c>
      <c r="D20" s="115">
        <v>0</v>
      </c>
      <c r="E20" s="115">
        <v>8403.09</v>
      </c>
      <c r="F20" s="115">
        <f t="shared" si="4"/>
        <v>8403.09</v>
      </c>
      <c r="G20" s="115">
        <v>0</v>
      </c>
      <c r="H20" s="115">
        <f t="shared" si="4"/>
        <v>0</v>
      </c>
      <c r="I20" s="115">
        <f t="shared" si="4"/>
        <v>0</v>
      </c>
      <c r="J20" s="115">
        <f t="shared" si="4"/>
        <v>0</v>
      </c>
      <c r="K20" s="115">
        <f t="shared" si="4"/>
        <v>0</v>
      </c>
      <c r="L20" s="115">
        <f t="shared" si="4"/>
        <v>0</v>
      </c>
      <c r="M20" s="115">
        <f t="shared" si="4"/>
        <v>0</v>
      </c>
      <c r="N20" s="115">
        <f>SUM(B20:M20)</f>
        <v>16806.18</v>
      </c>
    </row>
    <row r="21" spans="1:14" x14ac:dyDescent="0.2">
      <c r="A21" s="128" t="s">
        <v>207</v>
      </c>
      <c r="B21" s="115">
        <f t="shared" ref="B21:G21" si="5">SUM(B5:B20)</f>
        <v>87146.99000000002</v>
      </c>
      <c r="C21" s="115">
        <f t="shared" si="5"/>
        <v>88570.590000000011</v>
      </c>
      <c r="D21" s="115">
        <f t="shared" si="5"/>
        <v>91883.96</v>
      </c>
      <c r="E21" s="115">
        <f t="shared" si="5"/>
        <v>87992.39999999998</v>
      </c>
      <c r="F21" s="115">
        <f t="shared" si="5"/>
        <v>87992.39999999998</v>
      </c>
      <c r="G21" s="115">
        <f t="shared" si="5"/>
        <v>80250.28</v>
      </c>
      <c r="H21" s="115">
        <f t="shared" ref="H21:J21" si="6">SUM(H5:H19)</f>
        <v>80250.28</v>
      </c>
      <c r="I21" s="115">
        <f t="shared" si="6"/>
        <v>80250.28</v>
      </c>
      <c r="J21" s="115">
        <f t="shared" si="6"/>
        <v>80250.28</v>
      </c>
      <c r="K21" s="115">
        <f>SUM(K5:K20)</f>
        <v>80250.28</v>
      </c>
      <c r="L21" s="115">
        <f>SUM(L5:L20)</f>
        <v>80250.28</v>
      </c>
      <c r="M21" s="115">
        <f>SUM(M5:M20)</f>
        <v>80250.28</v>
      </c>
      <c r="N21" s="115">
        <f t="shared" si="3"/>
        <v>1005338.3000000002</v>
      </c>
    </row>
    <row r="22" spans="1:14" x14ac:dyDescent="0.2">
      <c r="A22" s="127" t="s">
        <v>208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>
        <f>N4-N21</f>
        <v>-36891.130000000121</v>
      </c>
    </row>
    <row r="24" spans="1:14" x14ac:dyDescent="0.2">
      <c r="N24" s="58" t="s">
        <v>47</v>
      </c>
    </row>
    <row r="27" spans="1:14" x14ac:dyDescent="0.2">
      <c r="N27" s="132" t="s">
        <v>47</v>
      </c>
    </row>
  </sheetData>
  <sortState ref="A5:N19">
    <sortCondition ref="A5:A19"/>
  </sortState>
  <printOptions horizontalCentered="1" gridLines="1"/>
  <pageMargins left="0" right="0" top="0.75" bottom="0" header="0.3" footer="0.3"/>
  <pageSetup scale="80" orientation="portrait" r:id="rId1"/>
  <headerFooter>
    <oddHeader>&amp;LElectrical Engineering Department&amp;C Budget and Expenditure Projection 2015-16
&amp;R&amp;A</oddHeader>
    <oddFooter>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pane ySplit="1" topLeftCell="A18" activePane="bottomLeft" state="frozen"/>
      <selection activeCell="G34" sqref="G34"/>
      <selection pane="bottomLeft" activeCell="G34" sqref="G34"/>
    </sheetView>
  </sheetViews>
  <sheetFormatPr defaultRowHeight="12.75" x14ac:dyDescent="0.2"/>
  <cols>
    <col min="1" max="1" width="37.7109375" style="83" bestFit="1" customWidth="1"/>
    <col min="2" max="2" width="6.7109375" style="58" customWidth="1"/>
    <col min="3" max="3" width="11.7109375" style="84" bestFit="1" customWidth="1"/>
    <col min="4" max="4" width="10" style="58" bestFit="1" customWidth="1"/>
    <col min="5" max="5" width="13.42578125" style="58" bestFit="1" customWidth="1"/>
    <col min="6" max="6" width="12.28515625" style="58" bestFit="1" customWidth="1"/>
    <col min="7" max="7" width="9.42578125" style="58" bestFit="1" customWidth="1"/>
    <col min="8" max="8" width="7.42578125" style="58" bestFit="1" customWidth="1"/>
    <col min="9" max="9" width="10.28515625" style="58" bestFit="1" customWidth="1"/>
    <col min="10" max="10" width="6.140625" style="58" bestFit="1" customWidth="1"/>
    <col min="11" max="11" width="9.7109375" style="58" bestFit="1" customWidth="1"/>
    <col min="12" max="13" width="6.140625" style="58" bestFit="1" customWidth="1"/>
    <col min="14" max="14" width="13.42578125" bestFit="1" customWidth="1"/>
    <col min="15" max="15" width="14" bestFit="1" customWidth="1"/>
  </cols>
  <sheetData>
    <row r="1" spans="1:15" x14ac:dyDescent="0.2">
      <c r="A1" s="228" t="s">
        <v>303</v>
      </c>
      <c r="B1" s="132" t="s">
        <v>6</v>
      </c>
      <c r="C1" s="100" t="s">
        <v>125</v>
      </c>
      <c r="D1" s="132" t="s">
        <v>126</v>
      </c>
      <c r="E1" s="132" t="s">
        <v>127</v>
      </c>
      <c r="F1" s="132" t="s">
        <v>128</v>
      </c>
      <c r="G1" s="100" t="s">
        <v>129</v>
      </c>
      <c r="H1" s="132" t="s">
        <v>130</v>
      </c>
      <c r="I1" s="132" t="s">
        <v>131</v>
      </c>
      <c r="J1" s="132" t="s">
        <v>132</v>
      </c>
      <c r="K1" s="100" t="s">
        <v>133</v>
      </c>
      <c r="L1" s="132" t="s">
        <v>15</v>
      </c>
      <c r="M1" s="132" t="s">
        <v>134</v>
      </c>
      <c r="N1" s="132" t="s">
        <v>34</v>
      </c>
    </row>
    <row r="3" spans="1:15" ht="25.5" x14ac:dyDescent="0.2">
      <c r="A3" s="224" t="s">
        <v>353</v>
      </c>
      <c r="B3" s="132">
        <v>0</v>
      </c>
      <c r="C3" s="132">
        <v>0</v>
      </c>
      <c r="D3" s="132">
        <v>0</v>
      </c>
      <c r="E3" s="132">
        <v>3304981</v>
      </c>
      <c r="F3" s="132">
        <v>-142589</v>
      </c>
      <c r="G3" s="132">
        <v>0</v>
      </c>
      <c r="H3" s="132">
        <v>0</v>
      </c>
      <c r="I3" s="132">
        <v>0</v>
      </c>
      <c r="J3" s="132">
        <v>0</v>
      </c>
      <c r="K3" s="132">
        <v>0</v>
      </c>
      <c r="L3" s="132">
        <v>0</v>
      </c>
      <c r="M3" s="132">
        <v>0</v>
      </c>
      <c r="N3" s="132">
        <f>SUM(B3:M3)</f>
        <v>3162392</v>
      </c>
    </row>
    <row r="4" spans="1:15" ht="15" x14ac:dyDescent="0.25">
      <c r="A4" s="225" t="s">
        <v>249</v>
      </c>
      <c r="B4" s="132">
        <v>0</v>
      </c>
      <c r="C4" s="132">
        <v>0</v>
      </c>
      <c r="D4" s="132">
        <v>0</v>
      </c>
      <c r="E4" s="132">
        <v>453498</v>
      </c>
      <c r="F4" s="132">
        <v>0</v>
      </c>
      <c r="G4" s="132">
        <v>0</v>
      </c>
      <c r="H4" s="132">
        <v>0</v>
      </c>
      <c r="I4" s="132">
        <v>0</v>
      </c>
      <c r="J4" s="132">
        <v>0</v>
      </c>
      <c r="K4" s="132">
        <v>0</v>
      </c>
      <c r="L4" s="132">
        <v>0</v>
      </c>
      <c r="M4" s="132">
        <v>0</v>
      </c>
      <c r="N4" s="132">
        <f t="shared" ref="N4:N17" si="0">SUM(B4:M4)</f>
        <v>453498</v>
      </c>
    </row>
    <row r="5" spans="1:15" ht="15" x14ac:dyDescent="0.25">
      <c r="A5" s="226" t="s">
        <v>284</v>
      </c>
      <c r="B5" s="132">
        <v>0</v>
      </c>
      <c r="C5" s="132">
        <v>0</v>
      </c>
      <c r="D5" s="132">
        <v>0</v>
      </c>
      <c r="E5" s="132">
        <v>0</v>
      </c>
      <c r="F5" s="132">
        <v>0</v>
      </c>
      <c r="G5" s="132">
        <v>0</v>
      </c>
      <c r="H5" s="132">
        <v>0</v>
      </c>
      <c r="I5" s="132">
        <v>0</v>
      </c>
      <c r="J5" s="132">
        <v>0</v>
      </c>
      <c r="K5" s="132">
        <v>0</v>
      </c>
      <c r="L5" s="132">
        <v>0</v>
      </c>
      <c r="M5" s="132">
        <v>0</v>
      </c>
      <c r="N5" s="132">
        <f t="shared" si="0"/>
        <v>0</v>
      </c>
    </row>
    <row r="6" spans="1:15" ht="15" x14ac:dyDescent="0.25">
      <c r="A6" s="247" t="s">
        <v>311</v>
      </c>
      <c r="B6" s="132">
        <v>0</v>
      </c>
      <c r="C6" s="132">
        <v>0</v>
      </c>
      <c r="D6" s="132">
        <v>0</v>
      </c>
      <c r="E6" s="132">
        <v>21857</v>
      </c>
      <c r="F6" s="132">
        <v>0</v>
      </c>
      <c r="G6" s="132">
        <v>0</v>
      </c>
      <c r="H6" s="132">
        <v>0</v>
      </c>
      <c r="I6" s="132">
        <v>0</v>
      </c>
      <c r="J6" s="132">
        <v>0</v>
      </c>
      <c r="K6" s="132">
        <v>0</v>
      </c>
      <c r="L6" s="132">
        <v>0</v>
      </c>
      <c r="M6" s="132">
        <v>0</v>
      </c>
      <c r="N6" s="132">
        <f t="shared" si="0"/>
        <v>21857</v>
      </c>
    </row>
    <row r="7" spans="1:15" ht="15" x14ac:dyDescent="0.25">
      <c r="A7" s="225" t="s">
        <v>250</v>
      </c>
      <c r="B7" s="132">
        <v>0</v>
      </c>
      <c r="C7" s="132">
        <v>0</v>
      </c>
      <c r="D7" s="132">
        <v>0</v>
      </c>
      <c r="E7" s="132">
        <v>0</v>
      </c>
      <c r="F7" s="132">
        <v>0</v>
      </c>
      <c r="G7" s="132">
        <v>0</v>
      </c>
      <c r="H7" s="132">
        <v>0</v>
      </c>
      <c r="I7" s="132">
        <v>0</v>
      </c>
      <c r="J7" s="132">
        <v>0</v>
      </c>
      <c r="K7" s="132">
        <v>0</v>
      </c>
      <c r="L7" s="132">
        <v>0</v>
      </c>
      <c r="M7" s="132">
        <v>0</v>
      </c>
      <c r="N7" s="132">
        <f t="shared" ref="N7" si="1">SUM(B7:M7)</f>
        <v>0</v>
      </c>
    </row>
    <row r="8" spans="1:15" ht="15" x14ac:dyDescent="0.25">
      <c r="A8" s="225" t="s">
        <v>251</v>
      </c>
      <c r="B8" s="132">
        <v>0</v>
      </c>
      <c r="C8" s="132">
        <v>0</v>
      </c>
      <c r="D8" s="132">
        <v>0</v>
      </c>
      <c r="E8" s="132">
        <v>1033484</v>
      </c>
      <c r="F8" s="132">
        <v>0</v>
      </c>
      <c r="G8" s="132">
        <v>0</v>
      </c>
      <c r="H8" s="132">
        <v>0</v>
      </c>
      <c r="I8" s="132">
        <v>0</v>
      </c>
      <c r="J8" s="132">
        <v>0</v>
      </c>
      <c r="K8" s="132">
        <v>0</v>
      </c>
      <c r="L8" s="132">
        <v>0</v>
      </c>
      <c r="M8" s="132">
        <v>0</v>
      </c>
      <c r="N8" s="132">
        <f t="shared" si="0"/>
        <v>1033484</v>
      </c>
    </row>
    <row r="9" spans="1:15" x14ac:dyDescent="0.2">
      <c r="A9" s="224" t="s">
        <v>345</v>
      </c>
      <c r="B9" s="132">
        <v>0</v>
      </c>
      <c r="C9" s="132">
        <v>0</v>
      </c>
      <c r="D9" s="132">
        <v>0</v>
      </c>
      <c r="E9" s="132">
        <v>45600</v>
      </c>
      <c r="F9" s="132">
        <v>0</v>
      </c>
      <c r="G9" s="132">
        <v>0</v>
      </c>
      <c r="H9" s="132">
        <v>0</v>
      </c>
      <c r="I9" s="132">
        <v>0</v>
      </c>
      <c r="J9" s="132">
        <v>0</v>
      </c>
      <c r="K9" s="132">
        <v>0</v>
      </c>
      <c r="L9" s="132">
        <v>0</v>
      </c>
      <c r="M9" s="132">
        <v>0</v>
      </c>
      <c r="N9" s="132">
        <f t="shared" si="0"/>
        <v>45600</v>
      </c>
    </row>
    <row r="10" spans="1:15" x14ac:dyDescent="0.2">
      <c r="A10" s="321" t="s">
        <v>342</v>
      </c>
      <c r="B10" s="132">
        <v>0</v>
      </c>
      <c r="C10" s="132">
        <v>0</v>
      </c>
      <c r="D10" s="132">
        <v>0</v>
      </c>
      <c r="E10" s="132">
        <v>47589</v>
      </c>
      <c r="F10" s="132">
        <v>0</v>
      </c>
      <c r="G10" s="132">
        <v>0</v>
      </c>
      <c r="H10" s="132">
        <v>0</v>
      </c>
      <c r="I10" s="132">
        <v>0</v>
      </c>
      <c r="J10" s="132">
        <v>0</v>
      </c>
      <c r="K10" s="132">
        <v>0</v>
      </c>
      <c r="L10" s="132">
        <v>0</v>
      </c>
      <c r="M10" s="132">
        <v>0</v>
      </c>
      <c r="N10" s="132">
        <f>SUM(B10:M10)</f>
        <v>47589</v>
      </c>
    </row>
    <row r="11" spans="1:15" x14ac:dyDescent="0.2">
      <c r="A11" s="321" t="s">
        <v>343</v>
      </c>
      <c r="B11" s="132">
        <v>0</v>
      </c>
      <c r="C11" s="132">
        <v>0</v>
      </c>
      <c r="D11" s="132">
        <v>0</v>
      </c>
      <c r="E11" s="132">
        <v>22800</v>
      </c>
      <c r="F11" s="132">
        <v>0</v>
      </c>
      <c r="G11" s="132">
        <v>0</v>
      </c>
      <c r="H11" s="132">
        <v>0</v>
      </c>
      <c r="I11" s="132">
        <v>0</v>
      </c>
      <c r="J11" s="132">
        <v>0</v>
      </c>
      <c r="K11" s="132">
        <v>0</v>
      </c>
      <c r="L11" s="132">
        <v>0</v>
      </c>
      <c r="M11" s="132">
        <v>0</v>
      </c>
      <c r="N11" s="132">
        <f>SUM(B11:M11)</f>
        <v>22800</v>
      </c>
    </row>
    <row r="12" spans="1:15" x14ac:dyDescent="0.2">
      <c r="A12" s="321" t="s">
        <v>320</v>
      </c>
      <c r="B12" s="132">
        <v>0</v>
      </c>
      <c r="C12" s="132">
        <v>0</v>
      </c>
      <c r="D12" s="132">
        <v>0</v>
      </c>
      <c r="E12" s="132">
        <v>7600</v>
      </c>
      <c r="F12" s="132">
        <v>0</v>
      </c>
      <c r="G12" s="132">
        <v>0</v>
      </c>
      <c r="H12" s="132">
        <v>0</v>
      </c>
      <c r="I12" s="132">
        <v>0</v>
      </c>
      <c r="J12" s="132">
        <v>0</v>
      </c>
      <c r="K12" s="132">
        <v>0</v>
      </c>
      <c r="L12" s="132">
        <v>0</v>
      </c>
      <c r="M12" s="132">
        <v>0</v>
      </c>
      <c r="N12" s="132">
        <f>SUM(B12:M12)</f>
        <v>7600</v>
      </c>
    </row>
    <row r="13" spans="1:15" x14ac:dyDescent="0.2">
      <c r="A13" s="321" t="s">
        <v>344</v>
      </c>
      <c r="B13" s="132">
        <v>0</v>
      </c>
      <c r="C13" s="132">
        <v>0</v>
      </c>
      <c r="D13" s="132">
        <v>0</v>
      </c>
      <c r="E13" s="132">
        <v>19000</v>
      </c>
      <c r="F13" s="132">
        <v>0</v>
      </c>
      <c r="G13" s="132">
        <v>0</v>
      </c>
      <c r="H13" s="132">
        <v>0</v>
      </c>
      <c r="I13" s="132">
        <v>0</v>
      </c>
      <c r="J13" s="132">
        <v>0</v>
      </c>
      <c r="K13" s="132">
        <v>0</v>
      </c>
      <c r="L13" s="132">
        <v>0</v>
      </c>
      <c r="M13" s="132">
        <v>0</v>
      </c>
      <c r="N13" s="132">
        <f>SUM(B13:M13)</f>
        <v>19000</v>
      </c>
    </row>
    <row r="14" spans="1:15" x14ac:dyDescent="0.2">
      <c r="A14" s="224" t="s">
        <v>332</v>
      </c>
      <c r="B14" s="132">
        <v>0</v>
      </c>
      <c r="C14" s="132">
        <v>0</v>
      </c>
      <c r="D14" s="132">
        <v>0</v>
      </c>
      <c r="E14" s="132">
        <v>0</v>
      </c>
      <c r="F14" s="132">
        <v>0</v>
      </c>
      <c r="G14" s="132">
        <v>0</v>
      </c>
      <c r="H14" s="132">
        <v>0</v>
      </c>
      <c r="I14" s="132">
        <v>0</v>
      </c>
      <c r="J14" s="132">
        <v>0</v>
      </c>
      <c r="K14" s="132">
        <v>0</v>
      </c>
      <c r="L14" s="132">
        <v>0</v>
      </c>
      <c r="M14" s="132">
        <v>0</v>
      </c>
      <c r="N14" s="132">
        <f t="shared" si="0"/>
        <v>0</v>
      </c>
    </row>
    <row r="15" spans="1:15" ht="14.25" customHeight="1" x14ac:dyDescent="0.2">
      <c r="A15" s="224" t="s">
        <v>260</v>
      </c>
      <c r="B15" s="132">
        <v>0</v>
      </c>
      <c r="C15" s="132">
        <v>0</v>
      </c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132">
        <f t="shared" si="0"/>
        <v>0</v>
      </c>
      <c r="O15" s="58"/>
    </row>
    <row r="16" spans="1:15" ht="15" x14ac:dyDescent="0.25">
      <c r="A16" s="177" t="s">
        <v>285</v>
      </c>
      <c r="B16" s="132">
        <v>0</v>
      </c>
      <c r="C16" s="132">
        <v>0</v>
      </c>
      <c r="D16" s="132">
        <v>0</v>
      </c>
      <c r="E16" s="132">
        <v>0</v>
      </c>
      <c r="F16" s="132">
        <v>0</v>
      </c>
      <c r="G16" s="132">
        <v>0</v>
      </c>
      <c r="H16" s="132">
        <v>0</v>
      </c>
      <c r="I16" s="132">
        <v>0</v>
      </c>
      <c r="J16" s="132">
        <v>0</v>
      </c>
      <c r="K16" s="132">
        <v>0</v>
      </c>
      <c r="L16" s="132">
        <v>0</v>
      </c>
      <c r="M16" s="132">
        <v>0</v>
      </c>
      <c r="N16" s="132">
        <f>SUM(B16:M16)</f>
        <v>0</v>
      </c>
      <c r="O16" s="58"/>
    </row>
    <row r="17" spans="1:15" x14ac:dyDescent="0.2">
      <c r="A17" s="224" t="s">
        <v>261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132">
        <f t="shared" si="0"/>
        <v>0</v>
      </c>
      <c r="O17" s="58"/>
    </row>
    <row r="18" spans="1:15" x14ac:dyDescent="0.2">
      <c r="A18" s="140" t="s">
        <v>277</v>
      </c>
      <c r="B18" s="132">
        <v>0</v>
      </c>
      <c r="C18" s="132">
        <v>0</v>
      </c>
      <c r="D18" s="132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32">
        <v>0</v>
      </c>
      <c r="L18" s="132">
        <v>0</v>
      </c>
      <c r="M18" s="132">
        <v>0</v>
      </c>
      <c r="N18" s="132">
        <f>SUM(B18:M18)</f>
        <v>0</v>
      </c>
      <c r="O18" s="58"/>
    </row>
    <row r="19" spans="1:15" x14ac:dyDescent="0.2">
      <c r="A19" s="179" t="s">
        <v>304</v>
      </c>
      <c r="B19" s="229">
        <f t="shared" ref="B19:M19" si="2">SUM(B3:B18)</f>
        <v>0</v>
      </c>
      <c r="C19" s="229">
        <f t="shared" si="2"/>
        <v>0</v>
      </c>
      <c r="D19" s="229">
        <f t="shared" si="2"/>
        <v>0</v>
      </c>
      <c r="E19" s="229">
        <f t="shared" si="2"/>
        <v>4956409</v>
      </c>
      <c r="F19" s="229">
        <f t="shared" si="2"/>
        <v>-142589</v>
      </c>
      <c r="G19" s="229">
        <f t="shared" si="2"/>
        <v>0</v>
      </c>
      <c r="H19" s="229">
        <f t="shared" si="2"/>
        <v>0</v>
      </c>
      <c r="I19" s="229">
        <f t="shared" si="2"/>
        <v>0</v>
      </c>
      <c r="J19" s="229">
        <f t="shared" si="2"/>
        <v>0</v>
      </c>
      <c r="K19" s="229">
        <f t="shared" si="2"/>
        <v>0</v>
      </c>
      <c r="L19" s="229">
        <f t="shared" si="2"/>
        <v>0</v>
      </c>
      <c r="M19" s="229">
        <f t="shared" si="2"/>
        <v>0</v>
      </c>
      <c r="N19" s="229">
        <f>SUM(N3:N18)</f>
        <v>4813820</v>
      </c>
    </row>
    <row r="20" spans="1:15" s="83" customFormat="1" x14ac:dyDescent="0.2">
      <c r="A20" s="228" t="s">
        <v>290</v>
      </c>
      <c r="B20" s="58">
        <f>Lottery!B4</f>
        <v>3700.04</v>
      </c>
      <c r="C20" s="58">
        <f>Lottery!C4</f>
        <v>0</v>
      </c>
      <c r="D20" s="58">
        <f>Lottery!D4</f>
        <v>0</v>
      </c>
      <c r="E20" s="58">
        <f>Lottery!E4</f>
        <v>50000</v>
      </c>
      <c r="F20" s="58">
        <v>0</v>
      </c>
      <c r="G20" s="58">
        <f>Lottery!G4</f>
        <v>0</v>
      </c>
      <c r="H20" s="58">
        <f>Lottery!H4</f>
        <v>0</v>
      </c>
      <c r="I20" s="58">
        <f>Lottery!I4</f>
        <v>0</v>
      </c>
      <c r="J20" s="58">
        <f>Lottery!J4</f>
        <v>0</v>
      </c>
      <c r="K20" s="58">
        <f>Lottery!K4</f>
        <v>0</v>
      </c>
      <c r="L20" s="58">
        <f>Lottery!L4</f>
        <v>0</v>
      </c>
      <c r="M20" s="58">
        <f>Lottery!M4</f>
        <v>0</v>
      </c>
      <c r="N20" s="58">
        <f>SUM(B20:M20)</f>
        <v>53700.04</v>
      </c>
    </row>
    <row r="21" spans="1:15" x14ac:dyDescent="0.2">
      <c r="A21" s="179" t="s">
        <v>305</v>
      </c>
      <c r="B21" s="229">
        <f>SUM(B20)</f>
        <v>3700.04</v>
      </c>
      <c r="C21" s="229">
        <f t="shared" ref="C21:N21" si="3">SUM(C20)</f>
        <v>0</v>
      </c>
      <c r="D21" s="229">
        <f t="shared" si="3"/>
        <v>0</v>
      </c>
      <c r="E21" s="229">
        <f t="shared" si="3"/>
        <v>50000</v>
      </c>
      <c r="F21" s="229">
        <f t="shared" si="3"/>
        <v>0</v>
      </c>
      <c r="G21" s="229">
        <f t="shared" si="3"/>
        <v>0</v>
      </c>
      <c r="H21" s="229">
        <f t="shared" si="3"/>
        <v>0</v>
      </c>
      <c r="I21" s="229">
        <f t="shared" si="3"/>
        <v>0</v>
      </c>
      <c r="J21" s="229">
        <f t="shared" si="3"/>
        <v>0</v>
      </c>
      <c r="K21" s="229">
        <f t="shared" si="3"/>
        <v>0</v>
      </c>
      <c r="L21" s="229">
        <f t="shared" si="3"/>
        <v>0</v>
      </c>
      <c r="M21" s="229">
        <f t="shared" si="3"/>
        <v>0</v>
      </c>
      <c r="N21" s="229">
        <f t="shared" si="3"/>
        <v>53700.04</v>
      </c>
    </row>
    <row r="22" spans="1:15" ht="14.25" customHeight="1" x14ac:dyDescent="0.2">
      <c r="A22" s="228" t="s">
        <v>324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</row>
    <row r="23" spans="1:15" ht="14.25" customHeight="1" x14ac:dyDescent="0.2">
      <c r="A23" s="224" t="s">
        <v>315</v>
      </c>
      <c r="B23" s="132">
        <v>0</v>
      </c>
      <c r="C23" s="132">
        <v>0</v>
      </c>
      <c r="D23" s="132">
        <v>0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32">
        <v>0</v>
      </c>
      <c r="L23" s="132">
        <v>0</v>
      </c>
      <c r="M23" s="132">
        <v>0</v>
      </c>
      <c r="N23" s="132">
        <f>SUM(B23:M23)</f>
        <v>0</v>
      </c>
    </row>
    <row r="24" spans="1:15" ht="14.25" customHeight="1" x14ac:dyDescent="0.25">
      <c r="A24" s="246" t="s">
        <v>310</v>
      </c>
      <c r="B24" s="132">
        <v>16613.88</v>
      </c>
      <c r="C24" s="132">
        <v>0</v>
      </c>
      <c r="D24" s="132">
        <v>0</v>
      </c>
      <c r="E24" s="132">
        <v>0</v>
      </c>
      <c r="F24" s="132">
        <v>0</v>
      </c>
      <c r="G24" s="132">
        <v>0</v>
      </c>
      <c r="H24" s="132">
        <v>0</v>
      </c>
      <c r="I24" s="132">
        <v>0</v>
      </c>
      <c r="J24" s="132">
        <v>0</v>
      </c>
      <c r="K24" s="132">
        <v>0</v>
      </c>
      <c r="L24" s="132">
        <v>0</v>
      </c>
      <c r="M24" s="132">
        <v>0</v>
      </c>
      <c r="N24" s="132">
        <f>SUM(B24:M24)</f>
        <v>16613.88</v>
      </c>
    </row>
    <row r="25" spans="1:15" ht="15" x14ac:dyDescent="0.25">
      <c r="A25" s="227" t="s">
        <v>243</v>
      </c>
      <c r="B25" s="132">
        <v>0</v>
      </c>
      <c r="C25" s="132">
        <v>0</v>
      </c>
      <c r="D25" s="132">
        <v>0</v>
      </c>
      <c r="E25" s="132">
        <v>0</v>
      </c>
      <c r="F25" s="132">
        <v>0</v>
      </c>
      <c r="G25" s="132">
        <v>0</v>
      </c>
      <c r="H25" s="132">
        <v>0</v>
      </c>
      <c r="I25" s="132">
        <v>0</v>
      </c>
      <c r="J25" s="132">
        <v>0</v>
      </c>
      <c r="K25" s="132">
        <v>0</v>
      </c>
      <c r="L25" s="132">
        <v>0</v>
      </c>
      <c r="M25" s="132">
        <v>0</v>
      </c>
      <c r="N25" s="132">
        <f>SUM(B25:M25)</f>
        <v>0</v>
      </c>
    </row>
    <row r="26" spans="1:15" x14ac:dyDescent="0.2">
      <c r="A26" s="224" t="s">
        <v>244</v>
      </c>
      <c r="B26" s="132">
        <v>0</v>
      </c>
      <c r="C26" s="132">
        <v>0</v>
      </c>
      <c r="D26" s="132">
        <v>0</v>
      </c>
      <c r="E26" s="132">
        <v>0</v>
      </c>
      <c r="F26" s="132">
        <v>0</v>
      </c>
      <c r="G26" s="132">
        <v>0</v>
      </c>
      <c r="H26" s="132">
        <v>0</v>
      </c>
      <c r="I26" s="132">
        <v>0</v>
      </c>
      <c r="J26" s="132">
        <v>0</v>
      </c>
      <c r="K26" s="132">
        <v>0</v>
      </c>
      <c r="L26" s="132">
        <v>0</v>
      </c>
      <c r="M26" s="132">
        <v>0</v>
      </c>
      <c r="N26" s="132">
        <f>SUM(B26:M26)</f>
        <v>0</v>
      </c>
    </row>
    <row r="27" spans="1:15" x14ac:dyDescent="0.2">
      <c r="A27" s="224" t="s">
        <v>276</v>
      </c>
      <c r="B27" s="132">
        <v>0</v>
      </c>
      <c r="C27" s="132">
        <v>0</v>
      </c>
      <c r="D27" s="132">
        <v>0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32">
        <v>0</v>
      </c>
      <c r="M27" s="132">
        <v>0</v>
      </c>
      <c r="N27" s="132">
        <f>SUM(B27:M27)</f>
        <v>0</v>
      </c>
    </row>
    <row r="28" spans="1:15" x14ac:dyDescent="0.2">
      <c r="A28" s="179" t="s">
        <v>325</v>
      </c>
      <c r="B28" s="229">
        <f>SUM(B23:B27)</f>
        <v>16613.88</v>
      </c>
      <c r="C28" s="229">
        <f t="shared" ref="C28:N28" si="4">SUM(C23:C27)</f>
        <v>0</v>
      </c>
      <c r="D28" s="229">
        <f t="shared" si="4"/>
        <v>0</v>
      </c>
      <c r="E28" s="229">
        <f t="shared" si="4"/>
        <v>0</v>
      </c>
      <c r="F28" s="229">
        <f t="shared" si="4"/>
        <v>0</v>
      </c>
      <c r="G28" s="229">
        <f t="shared" si="4"/>
        <v>0</v>
      </c>
      <c r="H28" s="229">
        <f t="shared" si="4"/>
        <v>0</v>
      </c>
      <c r="I28" s="229">
        <f t="shared" si="4"/>
        <v>0</v>
      </c>
      <c r="J28" s="229">
        <f t="shared" si="4"/>
        <v>0</v>
      </c>
      <c r="K28" s="229">
        <f t="shared" si="4"/>
        <v>0</v>
      </c>
      <c r="L28" s="229">
        <f t="shared" si="4"/>
        <v>0</v>
      </c>
      <c r="M28" s="229">
        <f t="shared" si="4"/>
        <v>0</v>
      </c>
      <c r="N28" s="229">
        <f t="shared" si="4"/>
        <v>16613.88</v>
      </c>
    </row>
    <row r="29" spans="1:15" x14ac:dyDescent="0.2">
      <c r="A29" s="228" t="s">
        <v>302</v>
      </c>
      <c r="N29" s="58"/>
    </row>
    <row r="30" spans="1:15" ht="15" x14ac:dyDescent="0.25">
      <c r="A30" s="320" t="s">
        <v>346</v>
      </c>
      <c r="B30" s="132">
        <v>0</v>
      </c>
      <c r="C30" s="132">
        <v>0</v>
      </c>
      <c r="D30" s="132">
        <v>0</v>
      </c>
      <c r="E30" s="132">
        <v>45553</v>
      </c>
      <c r="F30" s="132">
        <v>0</v>
      </c>
      <c r="G30" s="132">
        <v>0</v>
      </c>
      <c r="H30" s="132">
        <v>0</v>
      </c>
      <c r="I30" s="132">
        <v>0</v>
      </c>
      <c r="J30" s="132">
        <v>0</v>
      </c>
      <c r="K30" s="132">
        <v>0</v>
      </c>
      <c r="L30" s="132">
        <v>0</v>
      </c>
      <c r="M30" s="132">
        <v>0</v>
      </c>
      <c r="N30" s="132">
        <f>SUM(B30:M30)</f>
        <v>45553</v>
      </c>
    </row>
    <row r="31" spans="1:15" ht="15" x14ac:dyDescent="0.25">
      <c r="A31" s="324" t="s">
        <v>351</v>
      </c>
      <c r="B31" s="132">
        <v>0</v>
      </c>
      <c r="C31" s="132">
        <v>0</v>
      </c>
      <c r="D31" s="132">
        <v>0</v>
      </c>
      <c r="E31" s="132">
        <v>0</v>
      </c>
      <c r="F31" s="132">
        <f>726+2112</f>
        <v>2838</v>
      </c>
      <c r="G31" s="132">
        <v>0</v>
      </c>
      <c r="H31" s="132">
        <v>0</v>
      </c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132">
        <f t="shared" ref="N31:N43" si="5">SUM(B31:M31)</f>
        <v>2838</v>
      </c>
    </row>
    <row r="32" spans="1:15" ht="15" x14ac:dyDescent="0.25">
      <c r="A32" s="284" t="s">
        <v>331</v>
      </c>
      <c r="B32" s="132">
        <v>0</v>
      </c>
      <c r="C32" s="132">
        <v>0</v>
      </c>
      <c r="D32" s="132">
        <v>0</v>
      </c>
      <c r="E32" s="132">
        <v>0</v>
      </c>
      <c r="F32" s="132">
        <v>0</v>
      </c>
      <c r="G32" s="132">
        <v>0</v>
      </c>
      <c r="H32" s="132">
        <v>0</v>
      </c>
      <c r="I32" s="132">
        <v>2144.63</v>
      </c>
      <c r="J32" s="132">
        <v>0</v>
      </c>
      <c r="K32" s="132">
        <v>0</v>
      </c>
      <c r="L32" s="132">
        <v>0</v>
      </c>
      <c r="M32" s="132">
        <v>0</v>
      </c>
      <c r="N32" s="132">
        <f t="shared" si="5"/>
        <v>2144.63</v>
      </c>
    </row>
    <row r="33" spans="1:15" ht="15" x14ac:dyDescent="0.25">
      <c r="A33" s="346" t="s">
        <v>352</v>
      </c>
      <c r="B33" s="58">
        <v>0</v>
      </c>
      <c r="C33" s="132">
        <f>59247.62+178044.36</f>
        <v>237291.97999999998</v>
      </c>
      <c r="D33" s="132">
        <v>0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  <c r="J33" s="132">
        <v>0</v>
      </c>
      <c r="K33" s="132">
        <v>0</v>
      </c>
      <c r="L33" s="132">
        <v>0</v>
      </c>
      <c r="M33" s="132">
        <v>0</v>
      </c>
      <c r="N33" s="132">
        <f t="shared" si="5"/>
        <v>237291.97999999998</v>
      </c>
    </row>
    <row r="34" spans="1:15" ht="15" x14ac:dyDescent="0.25">
      <c r="A34" s="150" t="s">
        <v>262</v>
      </c>
      <c r="B34" s="132">
        <v>0</v>
      </c>
      <c r="C34" s="132">
        <v>9078.58</v>
      </c>
      <c r="D34" s="132">
        <v>0</v>
      </c>
      <c r="E34" s="132">
        <v>0</v>
      </c>
      <c r="F34" s="132">
        <v>0</v>
      </c>
      <c r="G34" s="132">
        <v>0</v>
      </c>
      <c r="H34" s="132">
        <v>0</v>
      </c>
      <c r="I34" s="132">
        <v>0</v>
      </c>
      <c r="J34" s="132">
        <v>0</v>
      </c>
      <c r="K34" s="132">
        <v>0</v>
      </c>
      <c r="L34" s="132">
        <v>0</v>
      </c>
      <c r="M34" s="132">
        <v>0</v>
      </c>
      <c r="N34" s="132">
        <f t="shared" si="5"/>
        <v>9078.58</v>
      </c>
    </row>
    <row r="35" spans="1:15" ht="15" x14ac:dyDescent="0.25">
      <c r="A35" s="248" t="s">
        <v>312</v>
      </c>
      <c r="B35" s="132">
        <v>0</v>
      </c>
      <c r="C35" s="132">
        <v>0</v>
      </c>
      <c r="D35" s="132">
        <v>0</v>
      </c>
      <c r="E35" s="132">
        <v>0</v>
      </c>
      <c r="F35" s="132">
        <v>0</v>
      </c>
      <c r="G35" s="132">
        <v>0</v>
      </c>
      <c r="H35" s="132">
        <v>0</v>
      </c>
      <c r="I35" s="132">
        <v>0</v>
      </c>
      <c r="J35" s="132">
        <v>0</v>
      </c>
      <c r="K35" s="132">
        <v>0</v>
      </c>
      <c r="L35" s="132">
        <v>0</v>
      </c>
      <c r="M35" s="132">
        <v>0</v>
      </c>
      <c r="N35" s="132">
        <f t="shared" si="5"/>
        <v>0</v>
      </c>
    </row>
    <row r="36" spans="1:15" x14ac:dyDescent="0.2">
      <c r="A36" t="s">
        <v>321</v>
      </c>
      <c r="B36" s="132">
        <v>0</v>
      </c>
      <c r="C36" s="132">
        <v>0</v>
      </c>
      <c r="D36" s="132">
        <v>0</v>
      </c>
      <c r="E36" s="132">
        <v>0</v>
      </c>
      <c r="F36" s="132">
        <v>0</v>
      </c>
      <c r="G36" s="132">
        <v>0</v>
      </c>
      <c r="H36" s="132">
        <v>0</v>
      </c>
      <c r="I36" s="132">
        <v>0</v>
      </c>
      <c r="J36" s="132">
        <v>0</v>
      </c>
      <c r="K36" s="132">
        <v>0</v>
      </c>
      <c r="L36" s="132">
        <v>0</v>
      </c>
      <c r="M36" s="132">
        <v>0</v>
      </c>
      <c r="N36" s="132">
        <f t="shared" si="5"/>
        <v>0</v>
      </c>
    </row>
    <row r="37" spans="1:15" x14ac:dyDescent="0.2">
      <c r="A37" t="s">
        <v>322</v>
      </c>
      <c r="B37" s="132">
        <v>0</v>
      </c>
      <c r="C37" s="132">
        <v>0</v>
      </c>
      <c r="D37" s="132">
        <v>0</v>
      </c>
      <c r="E37" s="132">
        <v>0</v>
      </c>
      <c r="F37" s="132">
        <v>0</v>
      </c>
      <c r="G37" s="132">
        <v>0</v>
      </c>
      <c r="H37" s="132">
        <v>0</v>
      </c>
      <c r="I37" s="132">
        <v>0</v>
      </c>
      <c r="J37" s="132">
        <v>0</v>
      </c>
      <c r="K37" s="132">
        <v>0</v>
      </c>
      <c r="L37" s="132">
        <v>0</v>
      </c>
      <c r="M37" s="132">
        <v>0</v>
      </c>
      <c r="N37" s="132">
        <f t="shared" si="5"/>
        <v>0</v>
      </c>
    </row>
    <row r="38" spans="1:15" x14ac:dyDescent="0.2">
      <c r="A38" s="55" t="s">
        <v>363</v>
      </c>
      <c r="B38" s="132">
        <v>0</v>
      </c>
      <c r="C38" s="132">
        <v>0</v>
      </c>
      <c r="D38" s="132">
        <v>0</v>
      </c>
      <c r="E38" s="132">
        <v>0</v>
      </c>
      <c r="F38" s="132">
        <v>0</v>
      </c>
      <c r="G38" s="132">
        <v>0</v>
      </c>
      <c r="H38" s="132">
        <v>0</v>
      </c>
      <c r="I38" s="132">
        <v>0</v>
      </c>
      <c r="J38" s="132">
        <v>0</v>
      </c>
      <c r="K38" s="132">
        <v>7457</v>
      </c>
      <c r="L38" s="132">
        <v>0</v>
      </c>
      <c r="M38" s="132">
        <v>0</v>
      </c>
      <c r="N38" s="132">
        <f t="shared" si="5"/>
        <v>7457</v>
      </c>
    </row>
    <row r="39" spans="1:15" x14ac:dyDescent="0.2">
      <c r="A39" s="55" t="s">
        <v>364</v>
      </c>
      <c r="B39" s="132">
        <v>0</v>
      </c>
      <c r="C39" s="132">
        <v>0</v>
      </c>
      <c r="D39" s="132">
        <v>0</v>
      </c>
      <c r="E39" s="132">
        <v>0</v>
      </c>
      <c r="F39" s="132">
        <v>0</v>
      </c>
      <c r="G39" s="132">
        <v>0</v>
      </c>
      <c r="H39" s="132">
        <v>0</v>
      </c>
      <c r="I39" s="132">
        <v>0</v>
      </c>
      <c r="J39" s="132">
        <v>0</v>
      </c>
      <c r="K39" s="132">
        <v>0</v>
      </c>
      <c r="L39" s="132">
        <v>0</v>
      </c>
      <c r="M39" s="132">
        <v>0</v>
      </c>
      <c r="N39" s="132">
        <f t="shared" si="5"/>
        <v>0</v>
      </c>
    </row>
    <row r="40" spans="1:15" x14ac:dyDescent="0.2">
      <c r="A40" t="s">
        <v>359</v>
      </c>
      <c r="B40" s="132">
        <v>0</v>
      </c>
      <c r="C40" s="132">
        <v>0</v>
      </c>
      <c r="D40" s="132">
        <v>0</v>
      </c>
      <c r="E40" s="132">
        <v>0</v>
      </c>
      <c r="F40" s="132">
        <v>0</v>
      </c>
      <c r="G40" s="132">
        <v>0</v>
      </c>
      <c r="H40" s="132">
        <v>0</v>
      </c>
      <c r="I40" s="132">
        <v>-9451.4599999999991</v>
      </c>
      <c r="J40" s="132">
        <v>0</v>
      </c>
      <c r="K40" s="132">
        <v>0</v>
      </c>
      <c r="L40" s="132">
        <v>0</v>
      </c>
      <c r="M40" s="132">
        <v>0</v>
      </c>
      <c r="N40" s="132">
        <f t="shared" si="5"/>
        <v>-9451.4599999999991</v>
      </c>
    </row>
    <row r="41" spans="1:15" x14ac:dyDescent="0.2">
      <c r="A41" s="55" t="s">
        <v>365</v>
      </c>
      <c r="B41" s="132">
        <v>0</v>
      </c>
      <c r="C41" s="132">
        <v>0</v>
      </c>
      <c r="D41" s="132">
        <v>0</v>
      </c>
      <c r="E41" s="132">
        <v>0</v>
      </c>
      <c r="F41" s="132">
        <v>0</v>
      </c>
      <c r="G41" s="132">
        <v>0</v>
      </c>
      <c r="H41" s="132">
        <v>0</v>
      </c>
      <c r="I41" s="132">
        <v>0</v>
      </c>
      <c r="J41" s="132">
        <v>0</v>
      </c>
      <c r="K41" s="132">
        <v>0</v>
      </c>
      <c r="L41" s="132">
        <v>0</v>
      </c>
      <c r="M41" s="132">
        <v>0</v>
      </c>
      <c r="N41" s="132">
        <f t="shared" si="5"/>
        <v>0</v>
      </c>
    </row>
    <row r="42" spans="1:15" x14ac:dyDescent="0.2">
      <c r="A42" t="s">
        <v>323</v>
      </c>
      <c r="B42" s="132">
        <v>0</v>
      </c>
      <c r="C42" s="132">
        <v>0</v>
      </c>
      <c r="D42" s="132">
        <v>0</v>
      </c>
      <c r="E42" s="132">
        <v>0</v>
      </c>
      <c r="F42" s="132">
        <v>0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132">
        <v>0</v>
      </c>
      <c r="M42" s="132">
        <v>0</v>
      </c>
      <c r="N42" s="132">
        <f t="shared" si="5"/>
        <v>0</v>
      </c>
    </row>
    <row r="43" spans="1:15" x14ac:dyDescent="0.2">
      <c r="A43" s="55" t="s">
        <v>366</v>
      </c>
      <c r="B43" s="132">
        <v>0</v>
      </c>
      <c r="C43" s="132">
        <v>0</v>
      </c>
      <c r="D43" s="132">
        <v>0</v>
      </c>
      <c r="E43" s="132">
        <v>0</v>
      </c>
      <c r="F43" s="132">
        <v>2500</v>
      </c>
      <c r="G43" s="132">
        <v>0</v>
      </c>
      <c r="H43" s="132">
        <v>0</v>
      </c>
      <c r="I43" s="132">
        <v>0</v>
      </c>
      <c r="J43" s="132">
        <v>0</v>
      </c>
      <c r="K43" s="132">
        <v>0</v>
      </c>
      <c r="L43" s="132">
        <v>0</v>
      </c>
      <c r="M43" s="132">
        <v>0</v>
      </c>
      <c r="N43" s="132">
        <f t="shared" si="5"/>
        <v>2500</v>
      </c>
    </row>
    <row r="44" spans="1:15" x14ac:dyDescent="0.2">
      <c r="A44" s="179" t="s">
        <v>306</v>
      </c>
      <c r="B44" s="229">
        <f>SUM(B30:B43)</f>
        <v>0</v>
      </c>
      <c r="C44" s="229">
        <f t="shared" ref="C44:M44" si="6">SUM(C30:C43)</f>
        <v>246370.55999999997</v>
      </c>
      <c r="D44" s="229">
        <f t="shared" si="6"/>
        <v>0</v>
      </c>
      <c r="E44" s="229">
        <f t="shared" si="6"/>
        <v>45553</v>
      </c>
      <c r="F44" s="229">
        <f t="shared" si="6"/>
        <v>5338</v>
      </c>
      <c r="G44" s="229">
        <f t="shared" si="6"/>
        <v>0</v>
      </c>
      <c r="H44" s="229">
        <f t="shared" si="6"/>
        <v>0</v>
      </c>
      <c r="I44" s="229">
        <f t="shared" si="6"/>
        <v>-7306.829999999999</v>
      </c>
      <c r="J44" s="229">
        <f t="shared" si="6"/>
        <v>0</v>
      </c>
      <c r="K44" s="229">
        <f t="shared" si="6"/>
        <v>7457</v>
      </c>
      <c r="L44" s="229">
        <f t="shared" si="6"/>
        <v>0</v>
      </c>
      <c r="M44" s="229">
        <f t="shared" si="6"/>
        <v>0</v>
      </c>
      <c r="N44" s="229">
        <f t="shared" ref="N44" si="7">SUM(N30:N43)</f>
        <v>297411.73</v>
      </c>
    </row>
    <row r="45" spans="1:15" x14ac:dyDescent="0.2">
      <c r="A45" s="223" t="s">
        <v>291</v>
      </c>
      <c r="B45" s="229">
        <f t="shared" ref="B45:M45" si="8">B19+B21+B44+B28</f>
        <v>20313.920000000002</v>
      </c>
      <c r="C45" s="229">
        <f t="shared" si="8"/>
        <v>246370.55999999997</v>
      </c>
      <c r="D45" s="229">
        <f t="shared" si="8"/>
        <v>0</v>
      </c>
      <c r="E45" s="229">
        <f t="shared" si="8"/>
        <v>5051962</v>
      </c>
      <c r="F45" s="229">
        <f t="shared" si="8"/>
        <v>-137251</v>
      </c>
      <c r="G45" s="229">
        <f t="shared" si="8"/>
        <v>0</v>
      </c>
      <c r="H45" s="229">
        <f t="shared" si="8"/>
        <v>0</v>
      </c>
      <c r="I45" s="229">
        <f t="shared" si="8"/>
        <v>-7306.829999999999</v>
      </c>
      <c r="J45" s="229">
        <f t="shared" si="8"/>
        <v>0</v>
      </c>
      <c r="K45" s="229">
        <f t="shared" si="8"/>
        <v>7457</v>
      </c>
      <c r="L45" s="229">
        <f t="shared" si="8"/>
        <v>0</v>
      </c>
      <c r="M45" s="229">
        <f t="shared" si="8"/>
        <v>0</v>
      </c>
      <c r="N45" s="229">
        <f>N19+N21+N44+N28</f>
        <v>5181545.6499999994</v>
      </c>
      <c r="O45" s="58"/>
    </row>
  </sheetData>
  <printOptions horizontalCentered="1" gridLines="1"/>
  <pageMargins left="0" right="0" top="0.75" bottom="0" header="0.3" footer="0.3"/>
  <pageSetup scale="80" orientation="landscape" r:id="rId1"/>
  <headerFooter>
    <oddHeader>&amp;LElectrical Engineering Department&amp;C Budget and Expenditure Projection 2016-17
&amp;R&amp;A</oddHeader>
    <oddFooter>&amp;R&amp;8&amp;D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C57" sqref="C57"/>
    </sheetView>
  </sheetViews>
  <sheetFormatPr defaultColWidth="9.140625" defaultRowHeight="15" x14ac:dyDescent="0.25"/>
  <cols>
    <col min="1" max="1" width="30.5703125" style="124" bestFit="1" customWidth="1"/>
    <col min="2" max="3" width="10.7109375" style="125" bestFit="1" customWidth="1"/>
    <col min="4" max="5" width="11.7109375" style="125" bestFit="1" customWidth="1"/>
    <col min="6" max="6" width="10.7109375" style="125" bestFit="1" customWidth="1"/>
    <col min="7" max="7" width="11.85546875" style="125" bestFit="1" customWidth="1"/>
    <col min="8" max="10" width="10.7109375" style="125" bestFit="1" customWidth="1"/>
    <col min="11" max="11" width="11.7109375" style="125" bestFit="1" customWidth="1"/>
    <col min="12" max="13" width="10.7109375" style="125" bestFit="1" customWidth="1"/>
    <col min="14" max="14" width="11.85546875" style="125" bestFit="1" customWidth="1"/>
    <col min="15" max="16384" width="9.140625" style="124"/>
  </cols>
  <sheetData>
    <row r="1" spans="1:14" x14ac:dyDescent="0.25">
      <c r="A1" s="123"/>
      <c r="B1" s="114" t="s">
        <v>6</v>
      </c>
      <c r="C1" s="114" t="s">
        <v>7</v>
      </c>
      <c r="D1" s="114" t="s">
        <v>8</v>
      </c>
      <c r="E1" s="114" t="s">
        <v>127</v>
      </c>
      <c r="F1" s="114" t="s">
        <v>128</v>
      </c>
      <c r="G1" s="114" t="s">
        <v>129</v>
      </c>
      <c r="H1" s="114" t="s">
        <v>130</v>
      </c>
      <c r="I1" s="114" t="s">
        <v>136</v>
      </c>
      <c r="J1" s="114" t="s">
        <v>132</v>
      </c>
      <c r="K1" s="114" t="s">
        <v>133</v>
      </c>
      <c r="L1" s="114" t="s">
        <v>15</v>
      </c>
      <c r="M1" s="114" t="s">
        <v>134</v>
      </c>
      <c r="N1" s="114" t="s">
        <v>34</v>
      </c>
    </row>
    <row r="2" spans="1:14" x14ac:dyDescent="0.25">
      <c r="A2" s="65" t="s">
        <v>209</v>
      </c>
      <c r="B2" s="115">
        <v>0</v>
      </c>
      <c r="C2" s="115">
        <v>0</v>
      </c>
      <c r="D2" s="115">
        <v>0</v>
      </c>
      <c r="E2" s="115">
        <v>0</v>
      </c>
      <c r="F2" s="115">
        <v>0</v>
      </c>
      <c r="G2" s="115">
        <v>0</v>
      </c>
      <c r="H2" s="115">
        <v>0</v>
      </c>
      <c r="I2" s="115">
        <v>0</v>
      </c>
      <c r="J2" s="115">
        <v>0</v>
      </c>
      <c r="K2" s="115">
        <v>0</v>
      </c>
      <c r="L2" s="115">
        <v>0</v>
      </c>
      <c r="M2" s="115">
        <v>0</v>
      </c>
      <c r="N2" s="115">
        <f>SUM(B2:M2)</f>
        <v>0</v>
      </c>
    </row>
    <row r="3" spans="1:14" x14ac:dyDescent="0.25">
      <c r="A3" s="65" t="s">
        <v>210</v>
      </c>
      <c r="B3" s="115">
        <v>0</v>
      </c>
      <c r="C3" s="115">
        <v>0</v>
      </c>
      <c r="D3" s="115">
        <v>0</v>
      </c>
      <c r="E3" s="115">
        <v>337725</v>
      </c>
      <c r="F3" s="115">
        <v>0</v>
      </c>
      <c r="G3" s="115">
        <v>0</v>
      </c>
      <c r="H3" s="115">
        <v>0</v>
      </c>
      <c r="I3" s="115">
        <v>0</v>
      </c>
      <c r="J3" s="115">
        <v>0</v>
      </c>
      <c r="K3" s="115">
        <v>0</v>
      </c>
      <c r="L3" s="115">
        <v>0</v>
      </c>
      <c r="M3" s="115">
        <v>0</v>
      </c>
      <c r="N3" s="115">
        <f>SUM(B3:M3)</f>
        <v>337725</v>
      </c>
    </row>
    <row r="4" spans="1:14" x14ac:dyDescent="0.25">
      <c r="A4" s="65" t="s">
        <v>293</v>
      </c>
      <c r="B4" s="115">
        <v>0</v>
      </c>
      <c r="C4" s="115">
        <v>0</v>
      </c>
      <c r="D4" s="115">
        <v>0</v>
      </c>
      <c r="E4" s="115">
        <v>0</v>
      </c>
      <c r="F4" s="115">
        <v>0</v>
      </c>
      <c r="G4" s="115">
        <v>0</v>
      </c>
      <c r="H4" s="115">
        <v>0</v>
      </c>
      <c r="I4" s="115">
        <v>0</v>
      </c>
      <c r="J4" s="115">
        <v>0</v>
      </c>
      <c r="K4" s="115">
        <v>0</v>
      </c>
      <c r="L4" s="115">
        <v>0</v>
      </c>
      <c r="M4" s="115">
        <v>0</v>
      </c>
      <c r="N4" s="115">
        <f>SUM(B4:M4)</f>
        <v>0</v>
      </c>
    </row>
    <row r="5" spans="1:14" x14ac:dyDescent="0.25">
      <c r="A5" s="65" t="s">
        <v>292</v>
      </c>
      <c r="B5" s="115">
        <v>9916.25</v>
      </c>
      <c r="C5" s="115">
        <v>0</v>
      </c>
      <c r="D5" s="115">
        <v>0</v>
      </c>
      <c r="E5" s="115">
        <v>0</v>
      </c>
      <c r="F5" s="115">
        <v>0</v>
      </c>
      <c r="G5" s="115">
        <v>0</v>
      </c>
      <c r="H5" s="115">
        <v>0</v>
      </c>
      <c r="I5" s="115">
        <v>0</v>
      </c>
      <c r="J5" s="115">
        <v>0</v>
      </c>
      <c r="K5" s="115">
        <v>0</v>
      </c>
      <c r="L5" s="115">
        <v>0</v>
      </c>
      <c r="M5" s="115">
        <v>0</v>
      </c>
      <c r="N5" s="115">
        <f>SUM(B5:M5)</f>
        <v>9916.25</v>
      </c>
    </row>
    <row r="6" spans="1:14" x14ac:dyDescent="0.25">
      <c r="A6" s="128" t="s">
        <v>138</v>
      </c>
      <c r="B6" s="115">
        <f>SUM(B2:B5)</f>
        <v>9916.25</v>
      </c>
      <c r="C6" s="115">
        <f>SUM(C2:C5)</f>
        <v>0</v>
      </c>
      <c r="D6" s="115">
        <f>SUM(D2:D4)</f>
        <v>0</v>
      </c>
      <c r="E6" s="115">
        <f t="shared" ref="E6:M6" si="0">SUM(E2:E4)</f>
        <v>337725</v>
      </c>
      <c r="F6" s="115">
        <f t="shared" si="0"/>
        <v>0</v>
      </c>
      <c r="G6" s="115">
        <f t="shared" si="0"/>
        <v>0</v>
      </c>
      <c r="H6" s="115">
        <f t="shared" si="0"/>
        <v>0</v>
      </c>
      <c r="I6" s="115">
        <f t="shared" si="0"/>
        <v>0</v>
      </c>
      <c r="J6" s="115">
        <f t="shared" si="0"/>
        <v>0</v>
      </c>
      <c r="K6" s="115">
        <f t="shared" si="0"/>
        <v>0</v>
      </c>
      <c r="L6" s="115">
        <f t="shared" si="0"/>
        <v>0</v>
      </c>
      <c r="M6" s="115">
        <f t="shared" si="0"/>
        <v>0</v>
      </c>
      <c r="N6" s="115">
        <f>SUM(N2:N5)</f>
        <v>347641.25</v>
      </c>
    </row>
    <row r="7" spans="1:14" x14ac:dyDescent="0.25">
      <c r="A7" s="128"/>
      <c r="B7" s="115"/>
      <c r="C7" s="115"/>
      <c r="D7" s="115"/>
      <c r="E7" s="115"/>
      <c r="F7" s="114"/>
      <c r="G7" s="114"/>
      <c r="H7" s="114"/>
      <c r="I7" s="115"/>
      <c r="J7" s="115"/>
      <c r="K7" s="115"/>
      <c r="L7" s="115"/>
      <c r="M7" s="115"/>
      <c r="N7" s="115"/>
    </row>
    <row r="8" spans="1:14" x14ac:dyDescent="0.25">
      <c r="A8" s="65" t="s">
        <v>294</v>
      </c>
      <c r="B8" s="115">
        <v>0</v>
      </c>
      <c r="C8" s="115">
        <v>0</v>
      </c>
      <c r="D8" s="115">
        <v>1232.0899999999999</v>
      </c>
      <c r="E8" s="115">
        <v>1256.01</v>
      </c>
      <c r="F8" s="199">
        <f>E8</f>
        <v>1256.01</v>
      </c>
      <c r="G8" s="199">
        <v>837.34</v>
      </c>
      <c r="H8" s="199">
        <f t="shared" ref="H8:M8" si="1">G8</f>
        <v>837.34</v>
      </c>
      <c r="I8" s="199">
        <f t="shared" si="1"/>
        <v>837.34</v>
      </c>
      <c r="J8" s="199">
        <f t="shared" si="1"/>
        <v>837.34</v>
      </c>
      <c r="K8" s="199">
        <f t="shared" si="1"/>
        <v>837.34</v>
      </c>
      <c r="L8" s="199">
        <f t="shared" si="1"/>
        <v>837.34</v>
      </c>
      <c r="M8" s="199">
        <f t="shared" si="1"/>
        <v>837.34</v>
      </c>
      <c r="N8" s="115">
        <f>SUM(B8:M8)</f>
        <v>9605.49</v>
      </c>
    </row>
    <row r="9" spans="1:14" x14ac:dyDescent="0.25">
      <c r="A9" s="65" t="s">
        <v>297</v>
      </c>
      <c r="B9" s="115">
        <v>0</v>
      </c>
      <c r="C9" s="115">
        <v>0</v>
      </c>
      <c r="D9" s="115">
        <v>0</v>
      </c>
      <c r="E9" s="115">
        <v>0</v>
      </c>
      <c r="F9" s="199">
        <f t="shared" ref="F9:M18" si="2">E9</f>
        <v>0</v>
      </c>
      <c r="G9" s="199">
        <f t="shared" si="2"/>
        <v>0</v>
      </c>
      <c r="H9" s="199">
        <f t="shared" si="2"/>
        <v>0</v>
      </c>
      <c r="I9" s="199">
        <f t="shared" si="2"/>
        <v>0</v>
      </c>
      <c r="J9" s="199">
        <f t="shared" si="2"/>
        <v>0</v>
      </c>
      <c r="K9" s="199">
        <f t="shared" si="2"/>
        <v>0</v>
      </c>
      <c r="L9" s="199">
        <f t="shared" si="2"/>
        <v>0</v>
      </c>
      <c r="M9" s="199">
        <f t="shared" si="2"/>
        <v>0</v>
      </c>
      <c r="N9" s="115">
        <f>SUM(B9:M9)</f>
        <v>0</v>
      </c>
    </row>
    <row r="10" spans="1:14" x14ac:dyDescent="0.25">
      <c r="A10" s="127" t="s">
        <v>201</v>
      </c>
      <c r="B10" s="115">
        <v>0</v>
      </c>
      <c r="C10" s="115">
        <v>0</v>
      </c>
      <c r="D10" s="115">
        <v>0</v>
      </c>
      <c r="E10" s="115">
        <v>23092</v>
      </c>
      <c r="F10" s="199">
        <f t="shared" si="2"/>
        <v>23092</v>
      </c>
      <c r="G10" s="199">
        <v>23507.58</v>
      </c>
      <c r="H10" s="199">
        <f t="shared" si="2"/>
        <v>23507.58</v>
      </c>
      <c r="I10" s="199">
        <f t="shared" si="2"/>
        <v>23507.58</v>
      </c>
      <c r="J10" s="199">
        <f t="shared" si="2"/>
        <v>23507.58</v>
      </c>
      <c r="K10" s="199">
        <f t="shared" si="2"/>
        <v>23507.58</v>
      </c>
      <c r="L10" s="199">
        <f t="shared" si="2"/>
        <v>23507.58</v>
      </c>
      <c r="M10" s="199">
        <f t="shared" si="2"/>
        <v>23507.58</v>
      </c>
      <c r="N10" s="115">
        <f t="shared" ref="N10:N18" si="3">SUM(B10:M10)</f>
        <v>210737.06000000006</v>
      </c>
    </row>
    <row r="11" spans="1:14" x14ac:dyDescent="0.25">
      <c r="A11" s="127" t="s">
        <v>167</v>
      </c>
      <c r="B11" s="115">
        <v>0</v>
      </c>
      <c r="C11" s="115">
        <v>0</v>
      </c>
      <c r="D11" s="115">
        <v>0</v>
      </c>
      <c r="E11" s="115">
        <v>1420.66</v>
      </c>
      <c r="F11" s="199">
        <f t="shared" si="2"/>
        <v>1420.66</v>
      </c>
      <c r="G11" s="199">
        <v>1408.6</v>
      </c>
      <c r="H11" s="199">
        <f t="shared" si="2"/>
        <v>1408.6</v>
      </c>
      <c r="I11" s="199">
        <f t="shared" si="2"/>
        <v>1408.6</v>
      </c>
      <c r="J11" s="199">
        <f t="shared" si="2"/>
        <v>1408.6</v>
      </c>
      <c r="K11" s="199">
        <f t="shared" si="2"/>
        <v>1408.6</v>
      </c>
      <c r="L11" s="199">
        <f t="shared" si="2"/>
        <v>1408.6</v>
      </c>
      <c r="M11" s="199">
        <f t="shared" si="2"/>
        <v>1408.6</v>
      </c>
      <c r="N11" s="115">
        <f t="shared" si="3"/>
        <v>12701.520000000002</v>
      </c>
    </row>
    <row r="12" spans="1:14" x14ac:dyDescent="0.25">
      <c r="A12" s="127" t="s">
        <v>202</v>
      </c>
      <c r="B12" s="115">
        <v>0</v>
      </c>
      <c r="C12" s="115">
        <v>0</v>
      </c>
      <c r="D12" s="115">
        <v>0</v>
      </c>
      <c r="E12" s="115">
        <v>390.28</v>
      </c>
      <c r="F12" s="199">
        <f t="shared" si="2"/>
        <v>390.28</v>
      </c>
      <c r="G12" s="199">
        <f t="shared" si="2"/>
        <v>390.28</v>
      </c>
      <c r="H12" s="199">
        <f t="shared" si="2"/>
        <v>390.28</v>
      </c>
      <c r="I12" s="199">
        <f t="shared" si="2"/>
        <v>390.28</v>
      </c>
      <c r="J12" s="199">
        <f t="shared" si="2"/>
        <v>390.28</v>
      </c>
      <c r="K12" s="199">
        <f t="shared" si="2"/>
        <v>390.28</v>
      </c>
      <c r="L12" s="199">
        <f t="shared" si="2"/>
        <v>390.28</v>
      </c>
      <c r="M12" s="199">
        <f t="shared" si="2"/>
        <v>390.28</v>
      </c>
      <c r="N12" s="115">
        <f t="shared" si="3"/>
        <v>3512.5199999999995</v>
      </c>
    </row>
    <row r="13" spans="1:14" x14ac:dyDescent="0.25">
      <c r="A13" s="127" t="s">
        <v>203</v>
      </c>
      <c r="B13" s="115">
        <v>0</v>
      </c>
      <c r="C13" s="115">
        <v>0</v>
      </c>
      <c r="D13" s="115">
        <v>0</v>
      </c>
      <c r="E13" s="115">
        <v>3862.97</v>
      </c>
      <c r="F13" s="199">
        <f t="shared" si="2"/>
        <v>3862.97</v>
      </c>
      <c r="G13" s="199">
        <v>4135.03</v>
      </c>
      <c r="H13" s="199">
        <f t="shared" si="2"/>
        <v>4135.03</v>
      </c>
      <c r="I13" s="199">
        <f t="shared" si="2"/>
        <v>4135.03</v>
      </c>
      <c r="J13" s="199">
        <f t="shared" si="2"/>
        <v>4135.03</v>
      </c>
      <c r="K13" s="199">
        <f t="shared" si="2"/>
        <v>4135.03</v>
      </c>
      <c r="L13" s="199">
        <f t="shared" si="2"/>
        <v>4135.03</v>
      </c>
      <c r="M13" s="199">
        <f t="shared" si="2"/>
        <v>4135.03</v>
      </c>
      <c r="N13" s="115">
        <f t="shared" si="3"/>
        <v>36671.149999999994</v>
      </c>
    </row>
    <row r="14" spans="1:14" x14ac:dyDescent="0.25">
      <c r="A14" s="127" t="s">
        <v>170</v>
      </c>
      <c r="B14" s="115">
        <v>0</v>
      </c>
      <c r="C14" s="115">
        <v>0</v>
      </c>
      <c r="D14" s="115">
        <v>0</v>
      </c>
      <c r="E14" s="115">
        <v>5807.63</v>
      </c>
      <c r="F14" s="199">
        <f t="shared" si="2"/>
        <v>5807.63</v>
      </c>
      <c r="G14" s="199">
        <f t="shared" si="2"/>
        <v>5807.63</v>
      </c>
      <c r="H14" s="199">
        <f t="shared" si="2"/>
        <v>5807.63</v>
      </c>
      <c r="I14" s="199">
        <f t="shared" si="2"/>
        <v>5807.63</v>
      </c>
      <c r="J14" s="199">
        <f t="shared" si="2"/>
        <v>5807.63</v>
      </c>
      <c r="K14" s="199">
        <f t="shared" si="2"/>
        <v>5807.63</v>
      </c>
      <c r="L14" s="199">
        <f t="shared" si="2"/>
        <v>5807.63</v>
      </c>
      <c r="M14" s="199">
        <f t="shared" si="2"/>
        <v>5807.63</v>
      </c>
      <c r="N14" s="115">
        <f t="shared" si="3"/>
        <v>52268.669999999991</v>
      </c>
    </row>
    <row r="15" spans="1:14" x14ac:dyDescent="0.25">
      <c r="A15" s="129" t="s">
        <v>211</v>
      </c>
      <c r="B15" s="115">
        <v>0</v>
      </c>
      <c r="C15" s="115">
        <v>0</v>
      </c>
      <c r="D15" s="115">
        <v>0</v>
      </c>
      <c r="E15" s="115">
        <v>22.5</v>
      </c>
      <c r="F15" s="199">
        <f t="shared" si="2"/>
        <v>22.5</v>
      </c>
      <c r="G15" s="199">
        <f t="shared" si="2"/>
        <v>22.5</v>
      </c>
      <c r="H15" s="199">
        <f t="shared" si="2"/>
        <v>22.5</v>
      </c>
      <c r="I15" s="199">
        <f t="shared" si="2"/>
        <v>22.5</v>
      </c>
      <c r="J15" s="199">
        <f t="shared" si="2"/>
        <v>22.5</v>
      </c>
      <c r="K15" s="199">
        <f t="shared" si="2"/>
        <v>22.5</v>
      </c>
      <c r="L15" s="199">
        <f t="shared" si="2"/>
        <v>22.5</v>
      </c>
      <c r="M15" s="199">
        <f t="shared" si="2"/>
        <v>22.5</v>
      </c>
      <c r="N15" s="115">
        <f t="shared" si="3"/>
        <v>202.5</v>
      </c>
    </row>
    <row r="16" spans="1:14" x14ac:dyDescent="0.25">
      <c r="A16" s="127" t="s">
        <v>171</v>
      </c>
      <c r="B16" s="115">
        <v>0</v>
      </c>
      <c r="C16" s="115">
        <v>0</v>
      </c>
      <c r="D16" s="115">
        <v>0</v>
      </c>
      <c r="E16" s="115">
        <v>332.26</v>
      </c>
      <c r="F16" s="199">
        <f t="shared" si="2"/>
        <v>332.26</v>
      </c>
      <c r="G16" s="199">
        <v>329.43</v>
      </c>
      <c r="H16" s="199">
        <f t="shared" si="2"/>
        <v>329.43</v>
      </c>
      <c r="I16" s="199">
        <f t="shared" si="2"/>
        <v>329.43</v>
      </c>
      <c r="J16" s="199">
        <f t="shared" si="2"/>
        <v>329.43</v>
      </c>
      <c r="K16" s="199">
        <f t="shared" si="2"/>
        <v>329.43</v>
      </c>
      <c r="L16" s="199">
        <f t="shared" si="2"/>
        <v>329.43</v>
      </c>
      <c r="M16" s="199">
        <f t="shared" si="2"/>
        <v>329.43</v>
      </c>
      <c r="N16" s="115">
        <f t="shared" si="3"/>
        <v>2970.5299999999997</v>
      </c>
    </row>
    <row r="17" spans="1:16" x14ac:dyDescent="0.25">
      <c r="A17" s="127" t="s">
        <v>172</v>
      </c>
      <c r="B17" s="115">
        <v>0</v>
      </c>
      <c r="C17" s="115">
        <v>0</v>
      </c>
      <c r="D17" s="115">
        <v>0</v>
      </c>
      <c r="E17" s="115">
        <v>23.61</v>
      </c>
      <c r="F17" s="199">
        <f t="shared" si="2"/>
        <v>23.61</v>
      </c>
      <c r="G17" s="199">
        <f t="shared" si="2"/>
        <v>23.61</v>
      </c>
      <c r="H17" s="199">
        <f t="shared" si="2"/>
        <v>23.61</v>
      </c>
      <c r="I17" s="199">
        <f t="shared" si="2"/>
        <v>23.61</v>
      </c>
      <c r="J17" s="199">
        <f t="shared" si="2"/>
        <v>23.61</v>
      </c>
      <c r="K17" s="199">
        <f t="shared" si="2"/>
        <v>23.61</v>
      </c>
      <c r="L17" s="199">
        <f t="shared" si="2"/>
        <v>23.61</v>
      </c>
      <c r="M17" s="199">
        <f t="shared" si="2"/>
        <v>23.61</v>
      </c>
      <c r="N17" s="115">
        <f t="shared" si="3"/>
        <v>212.49</v>
      </c>
    </row>
    <row r="18" spans="1:16" x14ac:dyDescent="0.25">
      <c r="A18" s="127" t="s">
        <v>204</v>
      </c>
      <c r="B18" s="115">
        <v>0</v>
      </c>
      <c r="C18" s="115">
        <v>0</v>
      </c>
      <c r="D18" s="115">
        <v>0</v>
      </c>
      <c r="E18" s="115">
        <v>12.3</v>
      </c>
      <c r="F18" s="199">
        <f t="shared" si="2"/>
        <v>12.3</v>
      </c>
      <c r="G18" s="199">
        <f t="shared" si="2"/>
        <v>12.3</v>
      </c>
      <c r="H18" s="199">
        <f t="shared" si="2"/>
        <v>12.3</v>
      </c>
      <c r="I18" s="199">
        <f t="shared" si="2"/>
        <v>12.3</v>
      </c>
      <c r="J18" s="199">
        <f t="shared" si="2"/>
        <v>12.3</v>
      </c>
      <c r="K18" s="199">
        <f t="shared" si="2"/>
        <v>12.3</v>
      </c>
      <c r="L18" s="199">
        <f t="shared" si="2"/>
        <v>12.3</v>
      </c>
      <c r="M18" s="199">
        <f t="shared" si="2"/>
        <v>12.3</v>
      </c>
      <c r="N18" s="115">
        <f t="shared" si="3"/>
        <v>110.69999999999999</v>
      </c>
    </row>
    <row r="19" spans="1:16" x14ac:dyDescent="0.25">
      <c r="A19" s="128" t="s">
        <v>207</v>
      </c>
      <c r="B19" s="115">
        <f>SUM(B8:B18)</f>
        <v>0</v>
      </c>
      <c r="C19" s="115">
        <f t="shared" ref="C19:M19" si="4">SUM(C8:C18)</f>
        <v>0</v>
      </c>
      <c r="D19" s="115">
        <f t="shared" si="4"/>
        <v>1232.0899999999999</v>
      </c>
      <c r="E19" s="115">
        <f t="shared" si="4"/>
        <v>36220.22</v>
      </c>
      <c r="F19" s="115">
        <f t="shared" si="4"/>
        <v>36220.22</v>
      </c>
      <c r="G19" s="115">
        <f t="shared" si="4"/>
        <v>36474.300000000003</v>
      </c>
      <c r="H19" s="115">
        <f t="shared" si="4"/>
        <v>36474.300000000003</v>
      </c>
      <c r="I19" s="115">
        <f t="shared" si="4"/>
        <v>36474.300000000003</v>
      </c>
      <c r="J19" s="115">
        <f t="shared" si="4"/>
        <v>36474.300000000003</v>
      </c>
      <c r="K19" s="115">
        <f t="shared" si="4"/>
        <v>36474.300000000003</v>
      </c>
      <c r="L19" s="115">
        <f t="shared" si="4"/>
        <v>36474.300000000003</v>
      </c>
      <c r="M19" s="115">
        <f t="shared" si="4"/>
        <v>36474.300000000003</v>
      </c>
      <c r="N19" s="115">
        <f>SUM(N8:N18)</f>
        <v>328992.63</v>
      </c>
    </row>
    <row r="20" spans="1:16" x14ac:dyDescent="0.25">
      <c r="A20" s="133" t="s">
        <v>212</v>
      </c>
      <c r="B20" s="115"/>
      <c r="C20" s="115"/>
      <c r="D20" s="115"/>
      <c r="E20" s="115"/>
      <c r="F20" s="146"/>
      <c r="G20" s="146"/>
      <c r="H20" s="115"/>
      <c r="I20" s="115"/>
      <c r="J20" s="115"/>
      <c r="K20" s="115"/>
      <c r="L20" s="115"/>
      <c r="M20" s="115"/>
      <c r="N20" s="115">
        <f>N6-N19</f>
        <v>18648.619999999995</v>
      </c>
    </row>
    <row r="21" spans="1:16" x14ac:dyDescent="0.25">
      <c r="P21" s="130" t="s">
        <v>47</v>
      </c>
    </row>
    <row r="23" spans="1:16" x14ac:dyDescent="0.25">
      <c r="F23"/>
      <c r="G23"/>
      <c r="H23"/>
      <c r="I23"/>
      <c r="J23"/>
      <c r="N23" s="125">
        <f>N20-Summary!O21</f>
        <v>18648.619999999995</v>
      </c>
    </row>
    <row r="24" spans="1:16" x14ac:dyDescent="0.25">
      <c r="F24"/>
      <c r="G24"/>
      <c r="H24"/>
      <c r="I24"/>
      <c r="J24"/>
    </row>
    <row r="25" spans="1:16" x14ac:dyDescent="0.25">
      <c r="F25"/>
      <c r="G25"/>
      <c r="H25"/>
      <c r="I25"/>
      <c r="J25"/>
    </row>
    <row r="26" spans="1:16" x14ac:dyDescent="0.25">
      <c r="F26"/>
      <c r="G26"/>
      <c r="H26"/>
      <c r="I26"/>
      <c r="J26"/>
      <c r="L26" s="145" t="s">
        <v>47</v>
      </c>
    </row>
    <row r="27" spans="1:16" x14ac:dyDescent="0.25">
      <c r="F27"/>
      <c r="G27"/>
      <c r="H27"/>
      <c r="I27"/>
      <c r="J27"/>
    </row>
    <row r="28" spans="1:16" x14ac:dyDescent="0.25">
      <c r="F28"/>
      <c r="G28"/>
      <c r="H28"/>
      <c r="I28"/>
      <c r="J28"/>
    </row>
    <row r="29" spans="1:16" x14ac:dyDescent="0.25">
      <c r="F29"/>
      <c r="G29"/>
      <c r="H29"/>
      <c r="I29"/>
      <c r="J29"/>
    </row>
    <row r="30" spans="1:16" x14ac:dyDescent="0.25">
      <c r="F30"/>
      <c r="G30"/>
      <c r="H30"/>
      <c r="I30"/>
      <c r="J30"/>
    </row>
    <row r="31" spans="1:16" x14ac:dyDescent="0.25">
      <c r="F31"/>
      <c r="G31"/>
      <c r="H31"/>
      <c r="I31"/>
      <c r="J31"/>
    </row>
    <row r="32" spans="1:16" x14ac:dyDescent="0.25">
      <c r="F32"/>
      <c r="G32"/>
      <c r="H32"/>
      <c r="I32"/>
      <c r="J32"/>
    </row>
    <row r="33" spans="6:14" x14ac:dyDescent="0.25">
      <c r="F33"/>
      <c r="G33"/>
      <c r="H33"/>
      <c r="I33"/>
      <c r="J33"/>
      <c r="N33" s="144" t="s">
        <v>47</v>
      </c>
    </row>
  </sheetData>
  <sortState ref="A7:N16">
    <sortCondition ref="A7:A16"/>
  </sortState>
  <printOptions horizontalCentered="1" gridLines="1"/>
  <pageMargins left="0" right="0" top="0.75" bottom="0" header="0.3" footer="0.3"/>
  <pageSetup scale="80" orientation="portrait" r:id="rId1"/>
  <headerFooter>
    <oddHeader>&amp;LElectrical Engineering Department&amp;C Budget and Expenditure Projection 2015-16
&amp;R&amp;A</oddHeader>
    <oddFooter>&amp;R&amp;8&amp;D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C57" sqref="C57"/>
    </sheetView>
  </sheetViews>
  <sheetFormatPr defaultColWidth="9.140625" defaultRowHeight="15" x14ac:dyDescent="0.25"/>
  <cols>
    <col min="1" max="1" width="30.5703125" style="124" bestFit="1" customWidth="1"/>
    <col min="2" max="3" width="10.7109375" style="125" bestFit="1" customWidth="1"/>
    <col min="4" max="5" width="11.7109375" style="125" bestFit="1" customWidth="1"/>
    <col min="6" max="6" width="10.7109375" style="125" bestFit="1" customWidth="1"/>
    <col min="7" max="7" width="11.85546875" style="125" bestFit="1" customWidth="1"/>
    <col min="8" max="10" width="10.7109375" style="125" bestFit="1" customWidth="1"/>
    <col min="11" max="11" width="11.7109375" style="125" bestFit="1" customWidth="1"/>
    <col min="12" max="13" width="10.7109375" style="125" bestFit="1" customWidth="1"/>
    <col min="14" max="14" width="11.85546875" style="125" bestFit="1" customWidth="1"/>
    <col min="15" max="16384" width="9.140625" style="124"/>
  </cols>
  <sheetData>
    <row r="1" spans="1:14" x14ac:dyDescent="0.25">
      <c r="A1" s="197"/>
      <c r="B1" s="114" t="s">
        <v>6</v>
      </c>
      <c r="C1" s="114" t="s">
        <v>7</v>
      </c>
      <c r="D1" s="114" t="s">
        <v>8</v>
      </c>
      <c r="E1" s="114" t="s">
        <v>127</v>
      </c>
      <c r="F1" s="114" t="s">
        <v>128</v>
      </c>
      <c r="G1" s="114" t="s">
        <v>129</v>
      </c>
      <c r="H1" s="114" t="s">
        <v>130</v>
      </c>
      <c r="I1" s="114" t="s">
        <v>136</v>
      </c>
      <c r="J1" s="114" t="s">
        <v>132</v>
      </c>
      <c r="K1" s="114" t="s">
        <v>133</v>
      </c>
      <c r="L1" s="114" t="s">
        <v>15</v>
      </c>
      <c r="M1" s="114" t="s">
        <v>134</v>
      </c>
      <c r="N1" s="114" t="s">
        <v>34</v>
      </c>
    </row>
    <row r="2" spans="1:14" x14ac:dyDescent="0.25">
      <c r="A2" s="65" t="s">
        <v>209</v>
      </c>
      <c r="B2" s="115">
        <v>0</v>
      </c>
      <c r="C2" s="115">
        <v>0</v>
      </c>
      <c r="D2" s="115">
        <v>0</v>
      </c>
      <c r="E2" s="115">
        <v>0</v>
      </c>
      <c r="F2" s="115">
        <v>0</v>
      </c>
      <c r="G2" s="115">
        <v>0</v>
      </c>
      <c r="H2" s="115">
        <v>0</v>
      </c>
      <c r="I2" s="115">
        <v>0</v>
      </c>
      <c r="J2" s="115">
        <v>0</v>
      </c>
      <c r="K2" s="115">
        <v>0</v>
      </c>
      <c r="L2" s="115">
        <v>0</v>
      </c>
      <c r="M2" s="115">
        <v>0</v>
      </c>
      <c r="N2" s="115">
        <f>SUM(B2:M2)</f>
        <v>0</v>
      </c>
    </row>
    <row r="3" spans="1:14" x14ac:dyDescent="0.25">
      <c r="A3" s="65" t="s">
        <v>210</v>
      </c>
      <c r="B3" s="115">
        <v>45305.11</v>
      </c>
      <c r="C3" s="115">
        <v>0</v>
      </c>
      <c r="D3" s="115">
        <v>40000</v>
      </c>
      <c r="E3" s="115">
        <v>0</v>
      </c>
      <c r="F3" s="115">
        <v>0</v>
      </c>
      <c r="G3" s="115">
        <v>0</v>
      </c>
      <c r="H3" s="115">
        <v>0</v>
      </c>
      <c r="I3" s="115">
        <v>0</v>
      </c>
      <c r="J3" s="115">
        <v>0</v>
      </c>
      <c r="K3" s="115">
        <v>0</v>
      </c>
      <c r="L3" s="115">
        <v>0</v>
      </c>
      <c r="M3" s="115">
        <v>0</v>
      </c>
      <c r="N3" s="115">
        <f>SUM(B3:M3)</f>
        <v>85305.11</v>
      </c>
    </row>
    <row r="4" spans="1:14" x14ac:dyDescent="0.25">
      <c r="A4" s="65" t="s">
        <v>292</v>
      </c>
      <c r="B4" s="115">
        <v>0</v>
      </c>
      <c r="C4" s="115">
        <v>0</v>
      </c>
      <c r="D4" s="115">
        <v>0</v>
      </c>
      <c r="E4" s="115">
        <v>0</v>
      </c>
      <c r="F4" s="115">
        <v>0</v>
      </c>
      <c r="G4" s="115">
        <v>0</v>
      </c>
      <c r="H4" s="115">
        <v>0</v>
      </c>
      <c r="I4" s="115">
        <v>0</v>
      </c>
      <c r="J4" s="115">
        <v>0</v>
      </c>
      <c r="K4" s="115">
        <v>0</v>
      </c>
      <c r="L4" s="115">
        <v>0</v>
      </c>
      <c r="M4" s="115">
        <v>0</v>
      </c>
      <c r="N4" s="115">
        <f>SUM(B4:M4)</f>
        <v>0</v>
      </c>
    </row>
    <row r="5" spans="1:14" x14ac:dyDescent="0.25">
      <c r="A5" s="128" t="s">
        <v>138</v>
      </c>
      <c r="B5" s="115">
        <f>SUM(B2:B4)</f>
        <v>45305.11</v>
      </c>
      <c r="C5" s="115">
        <f>SUM(C2:C4)</f>
        <v>0</v>
      </c>
      <c r="D5" s="115">
        <f t="shared" ref="D5:M5" si="0">SUM(D2:D3)</f>
        <v>40000</v>
      </c>
      <c r="E5" s="115">
        <f t="shared" si="0"/>
        <v>0</v>
      </c>
      <c r="F5" s="115">
        <f t="shared" si="0"/>
        <v>0</v>
      </c>
      <c r="G5" s="115">
        <f t="shared" si="0"/>
        <v>0</v>
      </c>
      <c r="H5" s="115">
        <f t="shared" si="0"/>
        <v>0</v>
      </c>
      <c r="I5" s="115">
        <f t="shared" si="0"/>
        <v>0</v>
      </c>
      <c r="J5" s="115">
        <f t="shared" si="0"/>
        <v>0</v>
      </c>
      <c r="K5" s="115">
        <f t="shared" si="0"/>
        <v>0</v>
      </c>
      <c r="L5" s="115">
        <f t="shared" si="0"/>
        <v>0</v>
      </c>
      <c r="M5" s="115">
        <f t="shared" si="0"/>
        <v>0</v>
      </c>
      <c r="N5" s="115">
        <f>SUM(N2:N4)</f>
        <v>85305.11</v>
      </c>
    </row>
    <row r="6" spans="1:14" x14ac:dyDescent="0.25">
      <c r="A6" s="128"/>
      <c r="B6" s="115"/>
      <c r="C6" s="115"/>
      <c r="D6" s="115"/>
      <c r="E6" s="115"/>
      <c r="F6" s="114"/>
      <c r="G6" s="114"/>
      <c r="H6" s="114"/>
      <c r="I6" s="115"/>
      <c r="J6" s="115"/>
      <c r="K6" s="115"/>
      <c r="L6" s="115"/>
      <c r="M6" s="115"/>
      <c r="N6" s="115"/>
    </row>
    <row r="7" spans="1:14" x14ac:dyDescent="0.25">
      <c r="A7" s="65" t="s">
        <v>294</v>
      </c>
      <c r="B7" s="198">
        <v>0</v>
      </c>
      <c r="C7" s="198">
        <v>0</v>
      </c>
      <c r="D7" s="198">
        <v>0</v>
      </c>
      <c r="E7" s="198">
        <v>0</v>
      </c>
      <c r="F7" s="199">
        <v>0</v>
      </c>
      <c r="G7" s="199">
        <v>0</v>
      </c>
      <c r="H7" s="199">
        <v>0</v>
      </c>
      <c r="I7" s="199">
        <v>0</v>
      </c>
      <c r="J7" s="199">
        <v>0</v>
      </c>
      <c r="K7" s="199">
        <v>0</v>
      </c>
      <c r="L7" s="199">
        <v>0</v>
      </c>
      <c r="M7" s="199">
        <v>0</v>
      </c>
      <c r="N7" s="115">
        <f>SUM(B7:M7)</f>
        <v>0</v>
      </c>
    </row>
    <row r="8" spans="1:14" x14ac:dyDescent="0.25">
      <c r="A8" s="65" t="s">
        <v>297</v>
      </c>
      <c r="B8" s="198">
        <v>0</v>
      </c>
      <c r="C8" s="198">
        <v>0</v>
      </c>
      <c r="D8" s="198">
        <v>0</v>
      </c>
      <c r="E8" s="198">
        <v>0</v>
      </c>
      <c r="F8" s="199">
        <v>0</v>
      </c>
      <c r="G8" s="199">
        <v>0</v>
      </c>
      <c r="H8" s="199">
        <v>0</v>
      </c>
      <c r="I8" s="199">
        <v>0</v>
      </c>
      <c r="J8" s="199">
        <v>0</v>
      </c>
      <c r="K8" s="199">
        <v>0</v>
      </c>
      <c r="L8" s="199">
        <v>0</v>
      </c>
      <c r="M8" s="199">
        <v>0</v>
      </c>
      <c r="N8" s="115">
        <f>SUM(B8:M8)</f>
        <v>0</v>
      </c>
    </row>
    <row r="9" spans="1:14" x14ac:dyDescent="0.25">
      <c r="A9" s="127" t="s">
        <v>201</v>
      </c>
      <c r="B9" s="115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5">
        <v>0</v>
      </c>
      <c r="K9" s="115">
        <v>0</v>
      </c>
      <c r="L9" s="115">
        <v>0</v>
      </c>
      <c r="M9" s="115">
        <v>0</v>
      </c>
      <c r="N9" s="115">
        <f t="shared" ref="N9:N17" si="1">SUM(B9:M9)</f>
        <v>0</v>
      </c>
    </row>
    <row r="10" spans="1:14" x14ac:dyDescent="0.25">
      <c r="A10" s="127" t="s">
        <v>167</v>
      </c>
      <c r="B10" s="115">
        <v>0</v>
      </c>
      <c r="C10" s="115">
        <v>0</v>
      </c>
      <c r="D10" s="115">
        <v>0</v>
      </c>
      <c r="E10" s="115">
        <v>0</v>
      </c>
      <c r="F10" s="115">
        <v>0</v>
      </c>
      <c r="G10" s="115">
        <v>0</v>
      </c>
      <c r="H10" s="115">
        <v>0</v>
      </c>
      <c r="I10" s="115">
        <v>0</v>
      </c>
      <c r="J10" s="115">
        <v>0</v>
      </c>
      <c r="K10" s="115">
        <v>0</v>
      </c>
      <c r="L10" s="115">
        <v>0</v>
      </c>
      <c r="M10" s="115">
        <v>0</v>
      </c>
      <c r="N10" s="115">
        <f t="shared" si="1"/>
        <v>0</v>
      </c>
    </row>
    <row r="11" spans="1:14" x14ac:dyDescent="0.25">
      <c r="A11" s="127" t="s">
        <v>202</v>
      </c>
      <c r="B11" s="115">
        <v>0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5">
        <v>0</v>
      </c>
      <c r="K11" s="115">
        <v>0</v>
      </c>
      <c r="L11" s="115">
        <v>0</v>
      </c>
      <c r="M11" s="115">
        <v>0</v>
      </c>
      <c r="N11" s="115">
        <f t="shared" si="1"/>
        <v>0</v>
      </c>
    </row>
    <row r="12" spans="1:14" x14ac:dyDescent="0.25">
      <c r="A12" s="127" t="s">
        <v>203</v>
      </c>
      <c r="B12" s="115">
        <v>0</v>
      </c>
      <c r="C12" s="115">
        <v>0</v>
      </c>
      <c r="D12" s="115">
        <v>0</v>
      </c>
      <c r="E12" s="115">
        <v>0</v>
      </c>
      <c r="F12" s="115">
        <v>0</v>
      </c>
      <c r="G12" s="115">
        <v>0</v>
      </c>
      <c r="H12" s="115">
        <v>0</v>
      </c>
      <c r="I12" s="115">
        <v>0</v>
      </c>
      <c r="J12" s="115">
        <v>0</v>
      </c>
      <c r="K12" s="115">
        <v>0</v>
      </c>
      <c r="L12" s="115">
        <v>0</v>
      </c>
      <c r="M12" s="115">
        <v>0</v>
      </c>
      <c r="N12" s="115">
        <f t="shared" si="1"/>
        <v>0</v>
      </c>
    </row>
    <row r="13" spans="1:14" x14ac:dyDescent="0.25">
      <c r="A13" s="127" t="s">
        <v>170</v>
      </c>
      <c r="B13" s="115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5">
        <v>0</v>
      </c>
      <c r="K13" s="115">
        <v>0</v>
      </c>
      <c r="L13" s="115">
        <v>0</v>
      </c>
      <c r="M13" s="115">
        <v>0</v>
      </c>
      <c r="N13" s="115">
        <f t="shared" si="1"/>
        <v>0</v>
      </c>
    </row>
    <row r="14" spans="1:14" x14ac:dyDescent="0.25">
      <c r="A14" s="129" t="s">
        <v>211</v>
      </c>
      <c r="B14" s="115">
        <v>0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  <c r="H14" s="115">
        <v>0</v>
      </c>
      <c r="I14" s="115">
        <v>0</v>
      </c>
      <c r="J14" s="115">
        <v>0</v>
      </c>
      <c r="K14" s="115">
        <v>0</v>
      </c>
      <c r="L14" s="115">
        <v>0</v>
      </c>
      <c r="M14" s="115">
        <v>0</v>
      </c>
      <c r="N14" s="115">
        <f t="shared" si="1"/>
        <v>0</v>
      </c>
    </row>
    <row r="15" spans="1:14" x14ac:dyDescent="0.25">
      <c r="A15" s="127" t="s">
        <v>171</v>
      </c>
      <c r="B15" s="115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  <c r="N15" s="115">
        <f t="shared" si="1"/>
        <v>0</v>
      </c>
    </row>
    <row r="16" spans="1:14" x14ac:dyDescent="0.25">
      <c r="A16" s="127" t="s">
        <v>172</v>
      </c>
      <c r="B16" s="115">
        <v>0</v>
      </c>
      <c r="C16" s="115">
        <v>0</v>
      </c>
      <c r="D16" s="115">
        <v>0</v>
      </c>
      <c r="E16" s="115">
        <v>0</v>
      </c>
      <c r="F16" s="115">
        <v>0</v>
      </c>
      <c r="G16" s="115">
        <v>0</v>
      </c>
      <c r="H16" s="115">
        <v>0</v>
      </c>
      <c r="I16" s="115">
        <v>0</v>
      </c>
      <c r="J16" s="115">
        <v>0</v>
      </c>
      <c r="K16" s="115">
        <v>0</v>
      </c>
      <c r="L16" s="115">
        <v>0</v>
      </c>
      <c r="M16" s="115">
        <v>0</v>
      </c>
      <c r="N16" s="115">
        <f t="shared" si="1"/>
        <v>0</v>
      </c>
    </row>
    <row r="17" spans="1:16" x14ac:dyDescent="0.25">
      <c r="A17" s="127" t="s">
        <v>204</v>
      </c>
      <c r="B17" s="115">
        <v>0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0</v>
      </c>
      <c r="J17" s="115">
        <v>0</v>
      </c>
      <c r="K17" s="115">
        <v>0</v>
      </c>
      <c r="L17" s="115">
        <v>0</v>
      </c>
      <c r="M17" s="115">
        <v>0</v>
      </c>
      <c r="N17" s="115">
        <f t="shared" si="1"/>
        <v>0</v>
      </c>
    </row>
    <row r="18" spans="1:16" x14ac:dyDescent="0.25">
      <c r="A18" s="128" t="s">
        <v>207</v>
      </c>
      <c r="B18" s="115">
        <f t="shared" ref="B18:M18" si="2">SUM(B9:B17)</f>
        <v>0</v>
      </c>
      <c r="C18" s="115">
        <f t="shared" si="2"/>
        <v>0</v>
      </c>
      <c r="D18" s="115">
        <f t="shared" si="2"/>
        <v>0</v>
      </c>
      <c r="E18" s="115">
        <f t="shared" si="2"/>
        <v>0</v>
      </c>
      <c r="F18" s="115">
        <f t="shared" si="2"/>
        <v>0</v>
      </c>
      <c r="G18" s="115">
        <f t="shared" si="2"/>
        <v>0</v>
      </c>
      <c r="H18" s="146">
        <f t="shared" si="2"/>
        <v>0</v>
      </c>
      <c r="I18" s="115">
        <f t="shared" si="2"/>
        <v>0</v>
      </c>
      <c r="J18" s="115">
        <f t="shared" si="2"/>
        <v>0</v>
      </c>
      <c r="K18" s="115">
        <f t="shared" si="2"/>
        <v>0</v>
      </c>
      <c r="L18" s="115">
        <f t="shared" si="2"/>
        <v>0</v>
      </c>
      <c r="M18" s="115">
        <f t="shared" si="2"/>
        <v>0</v>
      </c>
      <c r="N18" s="115">
        <f>SUM(N7:N17)</f>
        <v>0</v>
      </c>
    </row>
    <row r="19" spans="1:16" x14ac:dyDescent="0.25">
      <c r="A19" s="133" t="s">
        <v>212</v>
      </c>
      <c r="B19" s="115"/>
      <c r="C19" s="115"/>
      <c r="D19" s="115"/>
      <c r="E19" s="115"/>
      <c r="F19" s="146"/>
      <c r="G19" s="146"/>
      <c r="H19" s="115"/>
      <c r="I19" s="115"/>
      <c r="J19" s="115"/>
      <c r="K19" s="115"/>
      <c r="L19" s="115"/>
      <c r="M19" s="115"/>
      <c r="N19" s="115">
        <f>N5-N18</f>
        <v>85305.11</v>
      </c>
    </row>
    <row r="20" spans="1:16" x14ac:dyDescent="0.25">
      <c r="P20" s="130" t="s">
        <v>47</v>
      </c>
    </row>
    <row r="22" spans="1:16" x14ac:dyDescent="0.25">
      <c r="F22"/>
      <c r="G22"/>
      <c r="H22"/>
      <c r="I22"/>
      <c r="J22"/>
    </row>
    <row r="23" spans="1:16" x14ac:dyDescent="0.25">
      <c r="F23"/>
      <c r="G23"/>
      <c r="H23"/>
      <c r="I23"/>
      <c r="J23"/>
    </row>
    <row r="24" spans="1:16" x14ac:dyDescent="0.25">
      <c r="F24"/>
      <c r="G24"/>
      <c r="H24"/>
      <c r="I24"/>
      <c r="J24"/>
    </row>
    <row r="25" spans="1:16" x14ac:dyDescent="0.25">
      <c r="F25"/>
      <c r="G25"/>
      <c r="H25"/>
      <c r="I25"/>
      <c r="J25"/>
      <c r="L25" s="145" t="s">
        <v>47</v>
      </c>
    </row>
    <row r="26" spans="1:16" x14ac:dyDescent="0.25">
      <c r="F26"/>
      <c r="G26"/>
      <c r="H26"/>
      <c r="I26"/>
      <c r="J26"/>
    </row>
    <row r="27" spans="1:16" x14ac:dyDescent="0.25">
      <c r="F27"/>
      <c r="G27"/>
      <c r="H27"/>
      <c r="I27"/>
      <c r="J27"/>
    </row>
    <row r="28" spans="1:16" x14ac:dyDescent="0.25">
      <c r="F28"/>
      <c r="G28"/>
      <c r="H28"/>
      <c r="I28"/>
      <c r="J28"/>
    </row>
    <row r="29" spans="1:16" x14ac:dyDescent="0.25">
      <c r="F29"/>
      <c r="G29"/>
      <c r="H29"/>
      <c r="I29"/>
      <c r="J29"/>
    </row>
    <row r="30" spans="1:16" x14ac:dyDescent="0.25">
      <c r="F30"/>
      <c r="G30"/>
      <c r="H30"/>
      <c r="I30"/>
      <c r="J30"/>
    </row>
    <row r="31" spans="1:16" x14ac:dyDescent="0.25">
      <c r="F31"/>
      <c r="G31"/>
      <c r="H31"/>
      <c r="I31"/>
      <c r="J31"/>
    </row>
    <row r="32" spans="1:16" x14ac:dyDescent="0.25">
      <c r="F32"/>
      <c r="G32"/>
      <c r="H32"/>
      <c r="I32"/>
      <c r="J32"/>
      <c r="N32" s="144" t="s">
        <v>47</v>
      </c>
    </row>
  </sheetData>
  <printOptions horizontalCentered="1" gridLines="1"/>
  <pageMargins left="0" right="0" top="0.75" bottom="0" header="0.3" footer="0.3"/>
  <pageSetup scale="80" orientation="portrait" r:id="rId1"/>
  <headerFooter>
    <oddHeader>&amp;LElectrical Engineering Department&amp;C Budget and Expenditure Projection 2015-16
&amp;R&amp;A</oddHeader>
    <oddFooter>&amp;R&amp;8&amp;D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</sheetPr>
  <dimension ref="A1:P116"/>
  <sheetViews>
    <sheetView tabSelected="1" workbookViewId="0">
      <pane ySplit="1" topLeftCell="A2" activePane="bottomLeft" state="frozen"/>
      <selection activeCell="G34" sqref="G34"/>
      <selection pane="bottomLeft" activeCell="G34" sqref="G34"/>
    </sheetView>
  </sheetViews>
  <sheetFormatPr defaultColWidth="22.140625" defaultRowHeight="12" x14ac:dyDescent="0.2"/>
  <cols>
    <col min="1" max="1" width="22.140625" style="12"/>
    <col min="2" max="6" width="11.7109375" style="9" bestFit="1" customWidth="1"/>
    <col min="7" max="7" width="12.28515625" style="9" bestFit="1" customWidth="1"/>
    <col min="8" max="13" width="11.7109375" style="9" bestFit="1" customWidth="1"/>
    <col min="14" max="14" width="13.42578125" style="96" bestFit="1" customWidth="1"/>
    <col min="15" max="16384" width="22.140625" style="9"/>
  </cols>
  <sheetData>
    <row r="1" spans="1:16" ht="13.5" thickBot="1" x14ac:dyDescent="0.25">
      <c r="A1" s="30"/>
      <c r="B1" s="63" t="s">
        <v>6</v>
      </c>
      <c r="C1" s="35" t="s">
        <v>7</v>
      </c>
      <c r="D1" s="35" t="s">
        <v>8</v>
      </c>
      <c r="E1" s="35" t="s">
        <v>9</v>
      </c>
      <c r="F1" s="35" t="s">
        <v>10</v>
      </c>
      <c r="G1" s="35" t="s">
        <v>11</v>
      </c>
      <c r="H1" s="35" t="s">
        <v>5</v>
      </c>
      <c r="I1" s="35" t="s">
        <v>12</v>
      </c>
      <c r="J1" s="35" t="s">
        <v>13</v>
      </c>
      <c r="K1" s="35" t="s">
        <v>14</v>
      </c>
      <c r="L1" s="35" t="s">
        <v>15</v>
      </c>
      <c r="M1" s="35" t="s">
        <v>16</v>
      </c>
      <c r="N1" s="85" t="s">
        <v>34</v>
      </c>
    </row>
    <row r="2" spans="1:16" ht="12.75" x14ac:dyDescent="0.2">
      <c r="A2" s="30" t="s">
        <v>89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86">
        <v>0</v>
      </c>
    </row>
    <row r="3" spans="1:16" ht="12.75" x14ac:dyDescent="0.2">
      <c r="A3" s="37" t="s">
        <v>0</v>
      </c>
      <c r="B3" s="38">
        <f>Faculty!D26</f>
        <v>159426</v>
      </c>
      <c r="C3" s="38">
        <f>Faculty!G26</f>
        <v>161345</v>
      </c>
      <c r="D3" s="38">
        <f>Faculty!J26</f>
        <v>167971.5</v>
      </c>
      <c r="E3" s="38">
        <f>Faculty!M26</f>
        <v>167971.5</v>
      </c>
      <c r="F3" s="38">
        <f>Faculty!P26</f>
        <v>170966.5</v>
      </c>
      <c r="G3" s="38">
        <f>Faculty!S26</f>
        <v>168570.5</v>
      </c>
      <c r="H3" s="38">
        <f>Faculty!D52</f>
        <v>168570.5</v>
      </c>
      <c r="I3" s="38">
        <f>Faculty!G52</f>
        <v>168570.5</v>
      </c>
      <c r="J3" s="38">
        <f>Faculty!J52+Faculty!J53</f>
        <v>168570.5</v>
      </c>
      <c r="K3" s="38">
        <f>Faculty!M52</f>
        <v>170066.5</v>
      </c>
      <c r="L3" s="38">
        <f>Faculty!P52</f>
        <v>170066.5</v>
      </c>
      <c r="M3" s="38">
        <f>Faculty!S52</f>
        <v>170066.5</v>
      </c>
      <c r="N3" s="87">
        <f t="shared" ref="N3:N15" si="0">SUM(B3:M3)</f>
        <v>2012162</v>
      </c>
      <c r="O3" s="143"/>
      <c r="P3" s="143"/>
    </row>
    <row r="4" spans="1:16" ht="12.75" x14ac:dyDescent="0.2">
      <c r="A4" s="37" t="s">
        <v>1</v>
      </c>
      <c r="B4" s="38">
        <f>Faculty!E26</f>
        <v>86427.919999999984</v>
      </c>
      <c r="C4" s="38">
        <f>Faculty!H26</f>
        <v>86796.609999999986</v>
      </c>
      <c r="D4" s="38">
        <f>Faculty!K26</f>
        <v>93106.819999999978</v>
      </c>
      <c r="E4" s="38">
        <f>Faculty!N26</f>
        <v>93179.429999999978</v>
      </c>
      <c r="F4" s="38">
        <f>Faculty!Q26</f>
        <v>93805.93</v>
      </c>
      <c r="G4" s="38">
        <f>Faculty!T26</f>
        <v>92747.560000000012</v>
      </c>
      <c r="H4" s="38">
        <f>Faculty!E52</f>
        <v>92747.560000000012</v>
      </c>
      <c r="I4" s="38">
        <f>Faculty!H52</f>
        <v>92305.88</v>
      </c>
      <c r="J4" s="38">
        <f>Faculty!K52+Faculty!K53</f>
        <v>92421.869999999966</v>
      </c>
      <c r="K4" s="38">
        <f>Faculty!N52</f>
        <v>92819.79</v>
      </c>
      <c r="L4" s="38">
        <f>Faculty!Q52</f>
        <v>92819.79</v>
      </c>
      <c r="M4" s="38">
        <f>Faculty!T52</f>
        <v>92819.79</v>
      </c>
      <c r="N4" s="87">
        <f t="shared" si="0"/>
        <v>1101998.9500000002</v>
      </c>
      <c r="O4" s="143"/>
    </row>
    <row r="5" spans="1:16" ht="12.75" x14ac:dyDescent="0.2">
      <c r="A5" s="68" t="s">
        <v>141</v>
      </c>
      <c r="B5" s="69">
        <f>SUM(B3:B4)</f>
        <v>245853.91999999998</v>
      </c>
      <c r="C5" s="69">
        <f t="shared" ref="C5:M5" si="1">SUM(C3:C4)</f>
        <v>248141.61</v>
      </c>
      <c r="D5" s="69">
        <f>SUM(D3:D4)</f>
        <v>261078.31999999998</v>
      </c>
      <c r="E5" s="69">
        <f t="shared" si="1"/>
        <v>261150.93</v>
      </c>
      <c r="F5" s="69">
        <f t="shared" si="1"/>
        <v>264772.43</v>
      </c>
      <c r="G5" s="69">
        <f t="shared" si="1"/>
        <v>261318.06</v>
      </c>
      <c r="H5" s="69">
        <f t="shared" si="1"/>
        <v>261318.06</v>
      </c>
      <c r="I5" s="69">
        <f t="shared" si="1"/>
        <v>260876.38</v>
      </c>
      <c r="J5" s="69">
        <f t="shared" si="1"/>
        <v>260992.36999999997</v>
      </c>
      <c r="K5" s="69">
        <f t="shared" si="1"/>
        <v>262886.28999999998</v>
      </c>
      <c r="L5" s="69">
        <f t="shared" si="1"/>
        <v>262886.28999999998</v>
      </c>
      <c r="M5" s="69">
        <f t="shared" si="1"/>
        <v>262886.28999999998</v>
      </c>
      <c r="N5" s="88">
        <f>SUM(N3:N4)</f>
        <v>3114160.95</v>
      </c>
      <c r="O5" s="143"/>
    </row>
    <row r="6" spans="1:16" ht="12.75" x14ac:dyDescent="0.2">
      <c r="A6" s="59" t="s">
        <v>123</v>
      </c>
      <c r="B6" s="38">
        <f>MgmtSuper!C4</f>
        <v>0</v>
      </c>
      <c r="C6" s="38">
        <f>MgmtSuper!F4</f>
        <v>0</v>
      </c>
      <c r="D6" s="38">
        <f>MgmtSuper!I4</f>
        <v>0</v>
      </c>
      <c r="E6" s="38">
        <f>MgmtSuper!L4</f>
        <v>0</v>
      </c>
      <c r="F6" s="38">
        <f>MgmtSuper!O4</f>
        <v>0</v>
      </c>
      <c r="G6" s="38">
        <f>MgmtSuper!R4</f>
        <v>0</v>
      </c>
      <c r="H6" s="38">
        <f>MgmtSuper!C8</f>
        <v>0</v>
      </c>
      <c r="I6" s="38">
        <f>MgmtSuper!F8</f>
        <v>0</v>
      </c>
      <c r="J6" s="38">
        <f>MgmtSuper!I8</f>
        <v>0</v>
      </c>
      <c r="K6" s="38">
        <f>MgmtSuper!L8</f>
        <v>0</v>
      </c>
      <c r="L6" s="38">
        <f>MgmtSuper!O8</f>
        <v>0</v>
      </c>
      <c r="M6" s="38">
        <f>MgmtSuper!R8</f>
        <v>0</v>
      </c>
      <c r="N6" s="99">
        <f t="shared" si="0"/>
        <v>0</v>
      </c>
    </row>
    <row r="7" spans="1:16" ht="12.75" x14ac:dyDescent="0.2">
      <c r="A7" s="59" t="s">
        <v>124</v>
      </c>
      <c r="B7" s="38">
        <f>MgmtSuper!D4</f>
        <v>0</v>
      </c>
      <c r="C7" s="38">
        <f>MgmtSuper!G4</f>
        <v>0</v>
      </c>
      <c r="D7" s="38">
        <f>MgmtSuper!J4</f>
        <v>0</v>
      </c>
      <c r="E7" s="38">
        <f>MgmtSuper!M4</f>
        <v>0</v>
      </c>
      <c r="F7" s="38">
        <f>MgmtSuper!P4</f>
        <v>0</v>
      </c>
      <c r="G7" s="38">
        <f>MgmtSuper!S4</f>
        <v>0</v>
      </c>
      <c r="H7" s="38">
        <f>MgmtSuper!D8</f>
        <v>0</v>
      </c>
      <c r="I7" s="38">
        <f>MgmtSuper!G8</f>
        <v>0</v>
      </c>
      <c r="J7" s="38">
        <f>MgmtSuper!J8</f>
        <v>0</v>
      </c>
      <c r="K7" s="38">
        <f>MgmtSuper!M8</f>
        <v>0</v>
      </c>
      <c r="L7" s="38">
        <f>MgmtSuper!P8</f>
        <v>0</v>
      </c>
      <c r="M7" s="38">
        <f>MgmtSuper!S8</f>
        <v>0</v>
      </c>
      <c r="N7" s="87">
        <f t="shared" si="0"/>
        <v>0</v>
      </c>
    </row>
    <row r="8" spans="1:16" ht="12.75" x14ac:dyDescent="0.2">
      <c r="A8" s="68" t="s">
        <v>142</v>
      </c>
      <c r="B8" s="69">
        <f>SUM(B6:B7)</f>
        <v>0</v>
      </c>
      <c r="C8" s="69">
        <f t="shared" ref="C8:M8" si="2">SUM(C6:C7)</f>
        <v>0</v>
      </c>
      <c r="D8" s="69">
        <f t="shared" si="2"/>
        <v>0</v>
      </c>
      <c r="E8" s="69">
        <f t="shared" si="2"/>
        <v>0</v>
      </c>
      <c r="F8" s="69">
        <f t="shared" si="2"/>
        <v>0</v>
      </c>
      <c r="G8" s="69">
        <f t="shared" si="2"/>
        <v>0</v>
      </c>
      <c r="H8" s="69">
        <f t="shared" si="2"/>
        <v>0</v>
      </c>
      <c r="I8" s="69">
        <f t="shared" si="2"/>
        <v>0</v>
      </c>
      <c r="J8" s="69">
        <f t="shared" si="2"/>
        <v>0</v>
      </c>
      <c r="K8" s="69">
        <f t="shared" si="2"/>
        <v>0</v>
      </c>
      <c r="L8" s="69">
        <f t="shared" si="2"/>
        <v>0</v>
      </c>
      <c r="M8" s="69">
        <f t="shared" si="2"/>
        <v>0</v>
      </c>
      <c r="N8" s="88">
        <f>SUM(N6:N7)</f>
        <v>0</v>
      </c>
    </row>
    <row r="9" spans="1:16" s="71" customFormat="1" ht="12.75" x14ac:dyDescent="0.2">
      <c r="A9" s="72" t="s">
        <v>246</v>
      </c>
      <c r="B9" s="38">
        <f>'SummerSession-Misc'!C8</f>
        <v>12745.85</v>
      </c>
      <c r="C9" s="38">
        <f>'SummerSession-Misc'!F8</f>
        <v>12745.85</v>
      </c>
      <c r="D9" s="38">
        <f>'SummerSession-Misc'!I8</f>
        <v>12745.85</v>
      </c>
      <c r="E9" s="38">
        <f>'SummerSession-Misc'!L8</f>
        <v>0</v>
      </c>
      <c r="F9" s="38">
        <f>'SummerSession-Misc'!O8</f>
        <v>0</v>
      </c>
      <c r="G9" s="38">
        <f>'SummerSession-Misc'!R8</f>
        <v>0</v>
      </c>
      <c r="H9" s="38">
        <f>'SummerSession-Misc'!C14</f>
        <v>0</v>
      </c>
      <c r="I9" s="38">
        <f>'SummerSession-Misc'!F16</f>
        <v>0</v>
      </c>
      <c r="J9" s="38">
        <f>'SummerSession-Misc'!I16</f>
        <v>0</v>
      </c>
      <c r="K9" s="38">
        <f>'SummerSession-Misc'!L14</f>
        <v>0</v>
      </c>
      <c r="L9" s="38">
        <f>'SummerSession-Misc'!O14</f>
        <v>0</v>
      </c>
      <c r="M9" s="38">
        <f>'SummerSession-Misc'!R14</f>
        <v>0</v>
      </c>
      <c r="N9" s="87">
        <f t="shared" si="0"/>
        <v>38237.550000000003</v>
      </c>
    </row>
    <row r="10" spans="1:16" ht="12.75" x14ac:dyDescent="0.2">
      <c r="A10" s="67" t="s">
        <v>247</v>
      </c>
      <c r="B10" s="38">
        <f>'SummerSession-Misc'!D8</f>
        <v>184.8100000000004</v>
      </c>
      <c r="C10" s="38">
        <f>'SummerSession-Misc'!G8</f>
        <v>184.8100000000004</v>
      </c>
      <c r="D10" s="38">
        <f>'SummerSession-Misc'!J8</f>
        <v>184.8100000000004</v>
      </c>
      <c r="E10" s="38">
        <f>'SummerSession-Misc'!M8</f>
        <v>-459</v>
      </c>
      <c r="F10" s="38">
        <f>'SummerSession-Misc'!P8</f>
        <v>0</v>
      </c>
      <c r="G10" s="38">
        <f>'SummerSession-Misc'!S8</f>
        <v>0</v>
      </c>
      <c r="H10" s="38">
        <f>'SummerSession-Misc'!D14</f>
        <v>0</v>
      </c>
      <c r="I10" s="38">
        <f>'SummerSession-Misc'!G16</f>
        <v>0</v>
      </c>
      <c r="J10" s="38">
        <f>'SummerSession-Misc'!J16</f>
        <v>0</v>
      </c>
      <c r="K10" s="38">
        <f>'SummerSession-Misc'!M14</f>
        <v>0</v>
      </c>
      <c r="L10" s="38">
        <f>'SummerSession-Misc'!P14</f>
        <v>0</v>
      </c>
      <c r="M10" s="38">
        <f>'SummerSession-Misc'!S14</f>
        <v>0</v>
      </c>
      <c r="N10" s="87">
        <f t="shared" si="0"/>
        <v>95.430000000001201</v>
      </c>
    </row>
    <row r="11" spans="1:16" ht="12.75" x14ac:dyDescent="0.2">
      <c r="A11" s="68" t="s">
        <v>248</v>
      </c>
      <c r="B11" s="69">
        <f>SUM(B9:B10)</f>
        <v>12930.66</v>
      </c>
      <c r="C11" s="69">
        <f t="shared" ref="C11:M11" si="3">SUM(C9:C10)</f>
        <v>12930.66</v>
      </c>
      <c r="D11" s="69">
        <f t="shared" si="3"/>
        <v>12930.66</v>
      </c>
      <c r="E11" s="69">
        <f t="shared" si="3"/>
        <v>-459</v>
      </c>
      <c r="F11" s="69">
        <f t="shared" si="3"/>
        <v>0</v>
      </c>
      <c r="G11" s="69">
        <f t="shared" si="3"/>
        <v>0</v>
      </c>
      <c r="H11" s="69">
        <f t="shared" si="3"/>
        <v>0</v>
      </c>
      <c r="I11" s="69">
        <f t="shared" si="3"/>
        <v>0</v>
      </c>
      <c r="J11" s="69">
        <f t="shared" si="3"/>
        <v>0</v>
      </c>
      <c r="K11" s="69">
        <f t="shared" si="3"/>
        <v>0</v>
      </c>
      <c r="L11" s="69">
        <f t="shared" si="3"/>
        <v>0</v>
      </c>
      <c r="M11" s="69">
        <f t="shared" si="3"/>
        <v>0</v>
      </c>
      <c r="N11" s="88">
        <f>SUM(N9:N10)</f>
        <v>38332.980000000003</v>
      </c>
    </row>
    <row r="12" spans="1:16" ht="12.75" x14ac:dyDescent="0.2">
      <c r="A12" s="37" t="s">
        <v>98</v>
      </c>
      <c r="B12" s="38">
        <f>'Dept Chair'!C4</f>
        <v>8855</v>
      </c>
      <c r="C12" s="38">
        <f>'Dept Chair'!F4</f>
        <v>8855</v>
      </c>
      <c r="D12" s="38">
        <f>'Dept Chair'!I4</f>
        <v>9980</v>
      </c>
      <c r="E12" s="38">
        <f>'Dept Chair'!L4</f>
        <v>9980</v>
      </c>
      <c r="F12" s="38">
        <f>'Dept Chair'!O4</f>
        <v>9980</v>
      </c>
      <c r="G12" s="38">
        <f>'Dept Chair'!R4</f>
        <v>9980</v>
      </c>
      <c r="H12" s="38">
        <f>'Dept Chair'!C9</f>
        <v>9980</v>
      </c>
      <c r="I12" s="38">
        <f>'Dept Chair'!F9</f>
        <v>9980</v>
      </c>
      <c r="J12" s="38">
        <f>'Dept Chair'!I9</f>
        <v>9980</v>
      </c>
      <c r="K12" s="38">
        <f>'Dept Chair'!L9</f>
        <v>8372</v>
      </c>
      <c r="L12" s="38">
        <f>'Dept Chair'!O9</f>
        <v>8372</v>
      </c>
      <c r="M12" s="38">
        <f>'Dept Chair'!R9</f>
        <v>8372</v>
      </c>
      <c r="N12" s="99">
        <f t="shared" si="0"/>
        <v>112686</v>
      </c>
    </row>
    <row r="13" spans="1:16" ht="12.75" x14ac:dyDescent="0.2">
      <c r="A13" s="37" t="s">
        <v>99</v>
      </c>
      <c r="B13" s="38">
        <f>'Dept Chair'!D4</f>
        <v>4957.2700000000004</v>
      </c>
      <c r="C13" s="38">
        <f>'Dept Chair'!G4</f>
        <v>4957.2700000000004</v>
      </c>
      <c r="D13" s="38">
        <f>'Dept Chair'!J4</f>
        <v>5344.02</v>
      </c>
      <c r="E13" s="38">
        <f>'Dept Chair'!M4</f>
        <v>5344.02</v>
      </c>
      <c r="F13" s="38">
        <f>'Dept Chair'!P4</f>
        <v>5344.02</v>
      </c>
      <c r="G13" s="38">
        <f>'Dept Chair'!S4</f>
        <v>5349.52</v>
      </c>
      <c r="H13" s="38">
        <f>'Dept Chair'!D9</f>
        <v>5349.52</v>
      </c>
      <c r="I13" s="38">
        <f>'Dept Chair'!G9</f>
        <v>5349.52</v>
      </c>
      <c r="J13" s="38">
        <f>'Dept Chair'!J9</f>
        <v>5349.9699999999993</v>
      </c>
      <c r="K13" s="38">
        <f>'Dept Chair'!M9</f>
        <v>4779.7900000000009</v>
      </c>
      <c r="L13" s="38">
        <f>'Dept Chair'!P9</f>
        <v>4779.7900000000009</v>
      </c>
      <c r="M13" s="38">
        <f>'Dept Chair'!S9</f>
        <v>4779.7900000000009</v>
      </c>
      <c r="N13" s="87">
        <f t="shared" si="0"/>
        <v>61684.500000000007</v>
      </c>
    </row>
    <row r="14" spans="1:16" ht="12.75" x14ac:dyDescent="0.2">
      <c r="A14" s="68" t="s">
        <v>143</v>
      </c>
      <c r="B14" s="69">
        <f>SUM(B12:B13)</f>
        <v>13812.27</v>
      </c>
      <c r="C14" s="69">
        <f t="shared" ref="C14:M14" si="4">SUM(C12:C13)</f>
        <v>13812.27</v>
      </c>
      <c r="D14" s="69">
        <f t="shared" si="4"/>
        <v>15324.02</v>
      </c>
      <c r="E14" s="69">
        <f t="shared" si="4"/>
        <v>15324.02</v>
      </c>
      <c r="F14" s="69">
        <f t="shared" si="4"/>
        <v>15324.02</v>
      </c>
      <c r="G14" s="69">
        <f t="shared" si="4"/>
        <v>15329.52</v>
      </c>
      <c r="H14" s="69">
        <f t="shared" si="4"/>
        <v>15329.52</v>
      </c>
      <c r="I14" s="69">
        <f t="shared" si="4"/>
        <v>15329.52</v>
      </c>
      <c r="J14" s="69">
        <f t="shared" si="4"/>
        <v>15329.97</v>
      </c>
      <c r="K14" s="69">
        <f t="shared" si="4"/>
        <v>13151.79</v>
      </c>
      <c r="L14" s="69">
        <f t="shared" si="4"/>
        <v>13151.79</v>
      </c>
      <c r="M14" s="69">
        <f t="shared" si="4"/>
        <v>13151.79</v>
      </c>
      <c r="N14" s="88">
        <f>SUM(N12:N13)</f>
        <v>174370.5</v>
      </c>
    </row>
    <row r="15" spans="1:16" ht="12.75" x14ac:dyDescent="0.2">
      <c r="A15" s="37" t="s">
        <v>3</v>
      </c>
      <c r="B15" s="38">
        <v>0</v>
      </c>
      <c r="C15" s="38">
        <f>B15</f>
        <v>0</v>
      </c>
      <c r="D15" s="38">
        <f t="shared" ref="D15:M15" si="5">C15</f>
        <v>0</v>
      </c>
      <c r="E15" s="38">
        <f t="shared" si="5"/>
        <v>0</v>
      </c>
      <c r="F15" s="38">
        <f t="shared" si="5"/>
        <v>0</v>
      </c>
      <c r="G15" s="38">
        <f t="shared" si="5"/>
        <v>0</v>
      </c>
      <c r="H15" s="38">
        <f t="shared" si="5"/>
        <v>0</v>
      </c>
      <c r="I15" s="38">
        <f t="shared" si="5"/>
        <v>0</v>
      </c>
      <c r="J15" s="38">
        <f t="shared" si="5"/>
        <v>0</v>
      </c>
      <c r="K15" s="38">
        <f t="shared" si="5"/>
        <v>0</v>
      </c>
      <c r="L15" s="38">
        <f t="shared" si="5"/>
        <v>0</v>
      </c>
      <c r="M15" s="38">
        <f t="shared" si="5"/>
        <v>0</v>
      </c>
      <c r="N15" s="87">
        <f t="shared" si="0"/>
        <v>0</v>
      </c>
    </row>
    <row r="16" spans="1:16" s="49" customFormat="1" ht="12.75" x14ac:dyDescent="0.2">
      <c r="A16" s="41" t="s">
        <v>104</v>
      </c>
      <c r="B16" s="70">
        <f>B5+B8+B11+B14+B15</f>
        <v>272596.84999999998</v>
      </c>
      <c r="C16" s="70">
        <f t="shared" ref="C16:N16" si="6">C5+C8+C11+C14+C15</f>
        <v>274884.53999999998</v>
      </c>
      <c r="D16" s="70">
        <f t="shared" si="6"/>
        <v>289333</v>
      </c>
      <c r="E16" s="70">
        <f t="shared" si="6"/>
        <v>276015.95</v>
      </c>
      <c r="F16" s="70">
        <f t="shared" si="6"/>
        <v>280096.45</v>
      </c>
      <c r="G16" s="70">
        <f t="shared" si="6"/>
        <v>276647.58</v>
      </c>
      <c r="H16" s="70">
        <f t="shared" si="6"/>
        <v>276647.58</v>
      </c>
      <c r="I16" s="70">
        <f t="shared" si="6"/>
        <v>276205.90000000002</v>
      </c>
      <c r="J16" s="70">
        <f t="shared" si="6"/>
        <v>276322.33999999997</v>
      </c>
      <c r="K16" s="70">
        <f t="shared" si="6"/>
        <v>276038.07999999996</v>
      </c>
      <c r="L16" s="70">
        <f t="shared" si="6"/>
        <v>276038.07999999996</v>
      </c>
      <c r="M16" s="70">
        <f t="shared" si="6"/>
        <v>276038.07999999996</v>
      </c>
      <c r="N16" s="70">
        <f t="shared" si="6"/>
        <v>3326864.43</v>
      </c>
    </row>
    <row r="17" spans="1:15" ht="12.75" x14ac:dyDescent="0.2">
      <c r="A17" s="37" t="s">
        <v>2</v>
      </c>
      <c r="B17" s="38">
        <f>Staff!C7</f>
        <v>20551</v>
      </c>
      <c r="C17" s="38">
        <f>Staff!F7</f>
        <v>20551</v>
      </c>
      <c r="D17" s="38">
        <f>Staff!I7</f>
        <v>20551</v>
      </c>
      <c r="E17" s="38">
        <f>Staff!L7</f>
        <v>20551</v>
      </c>
      <c r="F17" s="38">
        <f>Staff!O7</f>
        <v>21431</v>
      </c>
      <c r="G17" s="38">
        <f>Staff!R7</f>
        <v>20727</v>
      </c>
      <c r="H17" s="38">
        <f>Staff!C14</f>
        <v>21770</v>
      </c>
      <c r="I17" s="38">
        <f>Staff!F14</f>
        <v>20876</v>
      </c>
      <c r="J17" s="38">
        <f>Staff!I14</f>
        <v>20876</v>
      </c>
      <c r="K17" s="38">
        <f>Staff!L14</f>
        <v>20876</v>
      </c>
      <c r="L17" s="38">
        <f>Staff!O14</f>
        <v>21680</v>
      </c>
      <c r="M17" s="38">
        <f>Staff!R14</f>
        <v>21144</v>
      </c>
      <c r="N17" s="99">
        <f>SUM(B17:M17)</f>
        <v>251584</v>
      </c>
    </row>
    <row r="18" spans="1:15" ht="12.75" x14ac:dyDescent="0.2">
      <c r="A18" s="37" t="s">
        <v>30</v>
      </c>
      <c r="B18" s="38">
        <f>Staff!D7</f>
        <v>12079.71</v>
      </c>
      <c r="C18" s="38">
        <f>Staff!G7</f>
        <v>12079.71</v>
      </c>
      <c r="D18" s="38">
        <f>Staff!J7</f>
        <v>12079.71</v>
      </c>
      <c r="E18" s="38">
        <f>Staff!M7</f>
        <v>12079.71</v>
      </c>
      <c r="F18" s="38">
        <f>Staff!P7</f>
        <v>12382.21</v>
      </c>
      <c r="G18" s="38">
        <f>Staff!S7</f>
        <v>12172.759999999998</v>
      </c>
      <c r="H18" s="38">
        <f>Staff!D14</f>
        <v>11221.04</v>
      </c>
      <c r="I18" s="38">
        <f>Staff!G14</f>
        <v>11568.850000000002</v>
      </c>
      <c r="J18" s="38">
        <f>Staff!J14</f>
        <v>11568.850000000002</v>
      </c>
      <c r="K18" s="38">
        <f>Staff!M14</f>
        <v>11568.850000000002</v>
      </c>
      <c r="L18" s="38">
        <f>Staff!P14</f>
        <v>11540.030000000002</v>
      </c>
      <c r="M18" s="38">
        <f>Staff!S14</f>
        <v>11737.91</v>
      </c>
      <c r="N18" s="87">
        <f>SUM(B18:M18)</f>
        <v>142079.34000000003</v>
      </c>
      <c r="O18" s="143"/>
    </row>
    <row r="19" spans="1:15" ht="12.75" x14ac:dyDescent="0.2">
      <c r="A19" s="41" t="s">
        <v>105</v>
      </c>
      <c r="B19" s="69">
        <f>SUM(B17:B18)</f>
        <v>32630.71</v>
      </c>
      <c r="C19" s="69">
        <f t="shared" ref="C19:M19" si="7">SUM(C17:C18)</f>
        <v>32630.71</v>
      </c>
      <c r="D19" s="69">
        <f t="shared" si="7"/>
        <v>32630.71</v>
      </c>
      <c r="E19" s="69">
        <f t="shared" si="7"/>
        <v>32630.71</v>
      </c>
      <c r="F19" s="69">
        <f t="shared" si="7"/>
        <v>33813.21</v>
      </c>
      <c r="G19" s="69">
        <f t="shared" si="7"/>
        <v>32899.759999999995</v>
      </c>
      <c r="H19" s="69">
        <f t="shared" si="7"/>
        <v>32991.040000000001</v>
      </c>
      <c r="I19" s="69">
        <f t="shared" si="7"/>
        <v>32444.850000000002</v>
      </c>
      <c r="J19" s="69">
        <f t="shared" si="7"/>
        <v>32444.850000000002</v>
      </c>
      <c r="K19" s="69">
        <f t="shared" si="7"/>
        <v>32444.850000000002</v>
      </c>
      <c r="L19" s="69">
        <f t="shared" si="7"/>
        <v>33220.03</v>
      </c>
      <c r="M19" s="69">
        <f t="shared" si="7"/>
        <v>32881.910000000003</v>
      </c>
      <c r="N19" s="88">
        <f>SUM(N17:N18)</f>
        <v>393663.34</v>
      </c>
    </row>
    <row r="20" spans="1:15" ht="12.75" x14ac:dyDescent="0.2">
      <c r="A20" s="59" t="s">
        <v>267</v>
      </c>
      <c r="B20" s="38">
        <f>'Full-time Lecturers'!C10</f>
        <v>40657</v>
      </c>
      <c r="C20" s="38">
        <f>'Full-time Lecturers'!F10</f>
        <v>40657</v>
      </c>
      <c r="D20" s="38">
        <f>'Full-time Lecturers'!I10</f>
        <v>47657</v>
      </c>
      <c r="E20" s="38">
        <f>'Full-time Lecturers'!L10</f>
        <v>47657</v>
      </c>
      <c r="F20" s="38">
        <f>'Full-time Lecturers'!O10</f>
        <v>47657</v>
      </c>
      <c r="G20" s="38">
        <f>'Full-time Lecturers'!R10</f>
        <v>47657</v>
      </c>
      <c r="H20" s="38">
        <f>'Full-time Lecturers'!C22</f>
        <v>47657</v>
      </c>
      <c r="I20" s="38">
        <f>'Full-time Lecturers'!F22</f>
        <v>47657</v>
      </c>
      <c r="J20" s="38">
        <f>'Full-time Lecturers'!I22</f>
        <v>47657</v>
      </c>
      <c r="K20" s="38">
        <f>'Full-time Lecturers'!L22</f>
        <v>47657</v>
      </c>
      <c r="L20" s="38">
        <f>'Full-time Lecturers'!O22</f>
        <v>47657</v>
      </c>
      <c r="M20" s="38">
        <f>'Full-time Lecturers'!R22</f>
        <v>47657</v>
      </c>
      <c r="N20" s="87">
        <f>SUM(B20:M20)</f>
        <v>557884</v>
      </c>
      <c r="O20" s="143"/>
    </row>
    <row r="21" spans="1:15" ht="12.75" x14ac:dyDescent="0.2">
      <c r="A21" s="59" t="s">
        <v>268</v>
      </c>
      <c r="B21" s="38">
        <f>'Full-time Lecturers'!D10</f>
        <v>22093.159999999996</v>
      </c>
      <c r="C21" s="38">
        <f>'Full-time Lecturers'!G10</f>
        <v>22093.159999999996</v>
      </c>
      <c r="D21" s="38">
        <f>'Full-time Lecturers'!J10</f>
        <v>24499.62</v>
      </c>
      <c r="E21" s="38">
        <f>'Full-time Lecturers'!M10</f>
        <v>27219.34</v>
      </c>
      <c r="F21" s="38">
        <f>'Full-time Lecturers'!P10</f>
        <v>26214.709999999995</v>
      </c>
      <c r="G21" s="38">
        <f>'Full-time Lecturers'!S10</f>
        <v>25972.97</v>
      </c>
      <c r="H21" s="38">
        <f>'Full-time Lecturers'!D22</f>
        <v>26398.35</v>
      </c>
      <c r="I21" s="38">
        <f>'Full-time Lecturers'!G22</f>
        <v>25985.25</v>
      </c>
      <c r="J21" s="38">
        <f>'Full-time Lecturers'!J22</f>
        <v>25987.949999999997</v>
      </c>
      <c r="K21" s="38">
        <f>'Full-time Lecturers'!M22</f>
        <v>25986.15</v>
      </c>
      <c r="L21" s="38">
        <f>'Full-time Lecturers'!P22</f>
        <v>25986.15</v>
      </c>
      <c r="M21" s="38">
        <f>'Full-time Lecturers'!S22</f>
        <v>25986.15</v>
      </c>
      <c r="N21" s="87">
        <f>SUM(B21:M21)</f>
        <v>304422.95999999996</v>
      </c>
      <c r="O21" s="143"/>
    </row>
    <row r="22" spans="1:15" s="49" customFormat="1" ht="12.75" x14ac:dyDescent="0.2">
      <c r="A22" s="41" t="s">
        <v>272</v>
      </c>
      <c r="B22" s="69">
        <f>SUM(B20:B21)</f>
        <v>62750.159999999996</v>
      </c>
      <c r="C22" s="69">
        <f t="shared" ref="C22:M22" si="8">SUM(C20:C21)</f>
        <v>62750.159999999996</v>
      </c>
      <c r="D22" s="69">
        <f t="shared" si="8"/>
        <v>72156.62</v>
      </c>
      <c r="E22" s="69">
        <f t="shared" si="8"/>
        <v>74876.34</v>
      </c>
      <c r="F22" s="69">
        <f t="shared" si="8"/>
        <v>73871.709999999992</v>
      </c>
      <c r="G22" s="69">
        <f t="shared" si="8"/>
        <v>73629.97</v>
      </c>
      <c r="H22" s="69">
        <f t="shared" si="8"/>
        <v>74055.350000000006</v>
      </c>
      <c r="I22" s="69">
        <f t="shared" si="8"/>
        <v>73642.25</v>
      </c>
      <c r="J22" s="69">
        <f t="shared" si="8"/>
        <v>73644.95</v>
      </c>
      <c r="K22" s="69">
        <f t="shared" si="8"/>
        <v>73643.149999999994</v>
      </c>
      <c r="L22" s="69">
        <f t="shared" si="8"/>
        <v>73643.149999999994</v>
      </c>
      <c r="M22" s="69">
        <f t="shared" si="8"/>
        <v>73643.149999999994</v>
      </c>
      <c r="N22" s="88">
        <f>SUM(N20:N21)</f>
        <v>862306.96</v>
      </c>
      <c r="O22" s="174"/>
    </row>
    <row r="23" spans="1:15" s="49" customFormat="1" ht="12.75" x14ac:dyDescent="0.2">
      <c r="A23" s="59" t="s">
        <v>271</v>
      </c>
      <c r="B23" s="164">
        <f>'Part-time Lecturers'!C20</f>
        <v>10009.93</v>
      </c>
      <c r="C23" s="164">
        <f>'Part-time Lecturers'!F20</f>
        <v>11007.33</v>
      </c>
      <c r="D23" s="164">
        <f>'Part-time Lecturers'!I20</f>
        <v>9831.5300000000007</v>
      </c>
      <c r="E23" s="164">
        <f>'Part-time Lecturers'!L20</f>
        <v>9375.1299999999992</v>
      </c>
      <c r="F23" s="164">
        <f>'Part-time Lecturers'!O20</f>
        <v>9603.33</v>
      </c>
      <c r="G23" s="164">
        <f>'Part-time Lecturers'!R20</f>
        <v>9603.33</v>
      </c>
      <c r="H23" s="164">
        <f>'Part-time Lecturers'!C40</f>
        <v>10445.869999999999</v>
      </c>
      <c r="I23" s="164">
        <f>'Part-time Lecturers'!F40</f>
        <v>10445.869999999999</v>
      </c>
      <c r="J23" s="164">
        <f>'Part-time Lecturers'!I40</f>
        <v>10445.869999999999</v>
      </c>
      <c r="K23" s="164">
        <f>'Part-time Lecturers'!L40</f>
        <v>6814.9700000000012</v>
      </c>
      <c r="L23" s="164">
        <f>'Part-time Lecturers'!O40</f>
        <v>8337.99</v>
      </c>
      <c r="M23" s="164">
        <f>'Part-time Lecturers'!R40</f>
        <v>8337.99</v>
      </c>
      <c r="N23" s="165">
        <f>SUM(B23:M23)</f>
        <v>114259.14</v>
      </c>
      <c r="O23" s="174"/>
    </row>
    <row r="24" spans="1:15" s="49" customFormat="1" ht="12.75" x14ac:dyDescent="0.2">
      <c r="A24" s="59" t="s">
        <v>270</v>
      </c>
      <c r="B24" s="164">
        <f>'Part-time Lecturers'!D20</f>
        <v>2576.6700000000005</v>
      </c>
      <c r="C24" s="164">
        <f>'Part-time Lecturers'!G20</f>
        <v>2591.1200000000003</v>
      </c>
      <c r="D24" s="164">
        <f>'Part-time Lecturers'!J20</f>
        <v>2286.21</v>
      </c>
      <c r="E24" s="164">
        <f>'Part-time Lecturers'!M20</f>
        <v>3622.4</v>
      </c>
      <c r="F24" s="164">
        <f>'Part-time Lecturers'!P20</f>
        <v>4909.6299999999992</v>
      </c>
      <c r="G24" s="164">
        <f>'Part-time Lecturers'!S20</f>
        <v>3746.43</v>
      </c>
      <c r="H24" s="164">
        <f>'Part-time Lecturers'!D40</f>
        <v>3758.64</v>
      </c>
      <c r="I24" s="164">
        <f>'Part-time Lecturers'!G40</f>
        <v>3758.64</v>
      </c>
      <c r="J24" s="164">
        <f>'Part-time Lecturers'!J40</f>
        <v>3766.7900000000004</v>
      </c>
      <c r="K24" s="164">
        <f>'Part-time Lecturers'!M40</f>
        <v>1774.23</v>
      </c>
      <c r="L24" s="164">
        <f>'Part-time Lecturers'!P40</f>
        <v>2762.3500000000004</v>
      </c>
      <c r="M24" s="164">
        <f>'Part-time Lecturers'!S40</f>
        <v>2762.3500000000004</v>
      </c>
      <c r="N24" s="165">
        <f>SUM(B24:M24)</f>
        <v>38315.46</v>
      </c>
    </row>
    <row r="25" spans="1:15" s="49" customFormat="1" ht="12.75" x14ac:dyDescent="0.2">
      <c r="A25" s="41" t="s">
        <v>269</v>
      </c>
      <c r="B25" s="69">
        <f>SUM(B23:B24)</f>
        <v>12586.6</v>
      </c>
      <c r="C25" s="69">
        <f t="shared" ref="C25:M25" si="9">SUM(C23:C24)</f>
        <v>13598.45</v>
      </c>
      <c r="D25" s="69">
        <f t="shared" si="9"/>
        <v>12117.740000000002</v>
      </c>
      <c r="E25" s="69">
        <f t="shared" si="9"/>
        <v>12997.529999999999</v>
      </c>
      <c r="F25" s="69">
        <f t="shared" si="9"/>
        <v>14512.96</v>
      </c>
      <c r="G25" s="69">
        <f t="shared" si="9"/>
        <v>13349.76</v>
      </c>
      <c r="H25" s="69">
        <f t="shared" si="9"/>
        <v>14204.509999999998</v>
      </c>
      <c r="I25" s="69">
        <f t="shared" si="9"/>
        <v>14204.509999999998</v>
      </c>
      <c r="J25" s="69">
        <f t="shared" si="9"/>
        <v>14212.66</v>
      </c>
      <c r="K25" s="69">
        <f t="shared" si="9"/>
        <v>8589.2000000000007</v>
      </c>
      <c r="L25" s="69">
        <f>SUM(L23:L24)</f>
        <v>11100.34</v>
      </c>
      <c r="M25" s="69">
        <f t="shared" si="9"/>
        <v>11100.34</v>
      </c>
      <c r="N25" s="69">
        <f>SUM(N23:N24)</f>
        <v>152574.6</v>
      </c>
      <c r="O25" s="167"/>
    </row>
    <row r="26" spans="1:15" ht="12.75" x14ac:dyDescent="0.2">
      <c r="A26" s="37" t="s">
        <v>112</v>
      </c>
      <c r="B26" s="38">
        <f>'Part-time Lecturers'!C13</f>
        <v>4801.7300000000005</v>
      </c>
      <c r="C26" s="38">
        <f>'Part-time Lecturers'!F13</f>
        <v>0</v>
      </c>
      <c r="D26" s="38">
        <f>'Part-time Lecturers'!I13</f>
        <v>8114.74</v>
      </c>
      <c r="E26" s="38">
        <f>'Part-time Lecturers'!L13</f>
        <v>9477.32</v>
      </c>
      <c r="F26" s="38">
        <f>'Part-time Lecturers'!O13</f>
        <v>8883.9399999999987</v>
      </c>
      <c r="G26" s="38">
        <f>'Part-time Lecturers'!R13</f>
        <v>8861.26</v>
      </c>
      <c r="H26" s="38">
        <f>'Part-time Lecturers'!C33</f>
        <v>8041.2</v>
      </c>
      <c r="I26" s="38">
        <f>'Part-time Lecturers'!F33</f>
        <v>8041.2</v>
      </c>
      <c r="J26" s="38">
        <f>'Part-time Lecturers'!I33</f>
        <v>8041.2</v>
      </c>
      <c r="K26" s="38">
        <f>'Part-time Lecturers'!L33</f>
        <v>10775.4</v>
      </c>
      <c r="L26" s="38">
        <f>'Part-time Lecturers'!O33</f>
        <v>8456.4699999999993</v>
      </c>
      <c r="M26" s="38">
        <f>'Part-time Lecturers'!R33</f>
        <v>8456.4699999999993</v>
      </c>
      <c r="N26" s="87">
        <f>SUM(B26:M26)</f>
        <v>91950.93</v>
      </c>
    </row>
    <row r="27" spans="1:15" ht="12.75" x14ac:dyDescent="0.2">
      <c r="A27" s="37" t="s">
        <v>113</v>
      </c>
      <c r="B27" s="38">
        <f>'Part-time Lecturers'!D13</f>
        <v>69.630000000000337</v>
      </c>
      <c r="C27" s="38">
        <f>'Part-time Lecturers'!G13</f>
        <v>0</v>
      </c>
      <c r="D27" s="38">
        <f>'Part-time Lecturers'!J13</f>
        <v>117.6700000000003</v>
      </c>
      <c r="E27" s="38">
        <f>'Part-time Lecturers'!M13</f>
        <v>137.4200000000003</v>
      </c>
      <c r="F27" s="38">
        <f>'Part-time Lecturers'!P13</f>
        <v>128.82000000000028</v>
      </c>
      <c r="G27" s="38">
        <f>'Part-time Lecturers'!S13</f>
        <v>635.0500000000003</v>
      </c>
      <c r="H27" s="38">
        <f>'Part-time Lecturers'!D33</f>
        <v>623.16999999999973</v>
      </c>
      <c r="I27" s="38">
        <f>'Part-time Lecturers'!G33</f>
        <v>623.16999999999973</v>
      </c>
      <c r="J27" s="38">
        <f>'Part-time Lecturers'!J33</f>
        <v>623.16999999999973</v>
      </c>
      <c r="K27" s="38">
        <f>'Part-time Lecturers'!M33</f>
        <v>662.81000000000006</v>
      </c>
      <c r="L27" s="38">
        <f>'Part-time Lecturers'!P33</f>
        <v>122.62000000000012</v>
      </c>
      <c r="M27" s="38">
        <f>'Part-time Lecturers'!S33</f>
        <v>122.62000000000012</v>
      </c>
      <c r="N27" s="87">
        <f>SUM(B27:M27)</f>
        <v>3866.1500000000005</v>
      </c>
    </row>
    <row r="28" spans="1:15" s="49" customFormat="1" ht="12.75" x14ac:dyDescent="0.2">
      <c r="A28" s="41" t="s">
        <v>114</v>
      </c>
      <c r="B28" s="69">
        <f>SUM(B26:B27)</f>
        <v>4871.3600000000006</v>
      </c>
      <c r="C28" s="69">
        <f t="shared" ref="C28:M28" si="10">SUM(C26:C27)</f>
        <v>0</v>
      </c>
      <c r="D28" s="69">
        <f t="shared" si="10"/>
        <v>8232.41</v>
      </c>
      <c r="E28" s="69">
        <f t="shared" si="10"/>
        <v>9614.74</v>
      </c>
      <c r="F28" s="69">
        <f t="shared" si="10"/>
        <v>9012.7599999999984</v>
      </c>
      <c r="G28" s="69">
        <f t="shared" si="10"/>
        <v>9496.3100000000013</v>
      </c>
      <c r="H28" s="69">
        <f>SUM(H26:H27)</f>
        <v>8664.369999999999</v>
      </c>
      <c r="I28" s="69">
        <f t="shared" si="10"/>
        <v>8664.369999999999</v>
      </c>
      <c r="J28" s="69">
        <f t="shared" si="10"/>
        <v>8664.369999999999</v>
      </c>
      <c r="K28" s="69">
        <f t="shared" si="10"/>
        <v>11438.21</v>
      </c>
      <c r="L28" s="69">
        <f>SUM(L26:L27)</f>
        <v>8579.09</v>
      </c>
      <c r="M28" s="69">
        <f t="shared" si="10"/>
        <v>8579.09</v>
      </c>
      <c r="N28" s="88">
        <f>SUM(N26:N27)</f>
        <v>95817.079999999987</v>
      </c>
      <c r="O28" s="174"/>
    </row>
    <row r="29" spans="1:15" ht="12.75" x14ac:dyDescent="0.2">
      <c r="A29" s="59" t="s">
        <v>147</v>
      </c>
      <c r="B29" s="38">
        <f>'SA - Admin'!C11</f>
        <v>4500.3</v>
      </c>
      <c r="C29" s="38">
        <f>'SA - Admin'!F11</f>
        <v>4379.5</v>
      </c>
      <c r="D29" s="38">
        <f>'SA - Admin'!I11</f>
        <v>6498.5</v>
      </c>
      <c r="E29" s="38">
        <f>'SA - Admin'!L11</f>
        <v>7704</v>
      </c>
      <c r="F29" s="38">
        <f>'SA - Admin'!O11</f>
        <v>9940.1</v>
      </c>
      <c r="G29" s="38">
        <f>'SA - Admin'!R11</f>
        <v>8842.7000000000007</v>
      </c>
      <c r="H29" s="38">
        <f>'SA - Admin'!B23</f>
        <v>5960.9</v>
      </c>
      <c r="I29" s="38">
        <f>'SA - Admin'!F23</f>
        <v>9148.7999999999993</v>
      </c>
      <c r="J29" s="38">
        <f>'SA - Admin'!I23</f>
        <v>10414.5</v>
      </c>
      <c r="K29" s="38">
        <f>'SA - Admin'!L23</f>
        <v>8176.8</v>
      </c>
      <c r="L29" s="38">
        <f>'SA - Admin'!O23</f>
        <v>6357.2</v>
      </c>
      <c r="M29" s="38">
        <f>'SA - Admin'!R23</f>
        <v>6357.2</v>
      </c>
      <c r="N29" s="87">
        <f>SUM(B29:M29)</f>
        <v>88280.5</v>
      </c>
    </row>
    <row r="30" spans="1:15" ht="12.75" x14ac:dyDescent="0.2">
      <c r="A30" s="59" t="s">
        <v>148</v>
      </c>
      <c r="B30" s="38">
        <f>'SA - Admin'!D11</f>
        <v>1.75</v>
      </c>
      <c r="C30" s="38">
        <f>'SA - Admin'!G11</f>
        <v>50.309999999999889</v>
      </c>
      <c r="D30" s="38">
        <f>'SA - Admin'!J11</f>
        <v>77.480000000000246</v>
      </c>
      <c r="E30" s="38">
        <f>'SA - Admin'!M11</f>
        <v>0</v>
      </c>
      <c r="F30" s="38">
        <f>'SA - Admin'!P11</f>
        <v>0</v>
      </c>
      <c r="G30" s="38">
        <f>'SA - Admin'!S11</f>
        <v>0</v>
      </c>
      <c r="H30" s="38">
        <f>'SA - Admin'!D23</f>
        <v>0</v>
      </c>
      <c r="I30" s="38">
        <f>'SA - Admin'!G23</f>
        <v>0</v>
      </c>
      <c r="J30" s="38">
        <f>'SA - Admin'!J23</f>
        <v>0</v>
      </c>
      <c r="K30" s="38">
        <f>'SA - Admin'!M23</f>
        <v>0</v>
      </c>
      <c r="L30" s="38">
        <f>'SA - Admin'!P23</f>
        <v>0</v>
      </c>
      <c r="M30" s="38">
        <f>'SA - Admin'!S23</f>
        <v>0</v>
      </c>
      <c r="N30" s="87">
        <f>SUM(B30:M30)</f>
        <v>129.54000000000013</v>
      </c>
    </row>
    <row r="31" spans="1:15" ht="12.75" x14ac:dyDescent="0.2">
      <c r="A31" s="41" t="s">
        <v>149</v>
      </c>
      <c r="B31" s="69">
        <f>SUM(B29:B30)</f>
        <v>4502.05</v>
      </c>
      <c r="C31" s="69">
        <f t="shared" ref="C31:M31" si="11">SUM(C29:C30)</f>
        <v>4429.8099999999995</v>
      </c>
      <c r="D31" s="69">
        <f t="shared" si="11"/>
        <v>6575.9800000000005</v>
      </c>
      <c r="E31" s="69">
        <f t="shared" si="11"/>
        <v>7704</v>
      </c>
      <c r="F31" s="69">
        <f t="shared" si="11"/>
        <v>9940.1</v>
      </c>
      <c r="G31" s="69">
        <f t="shared" si="11"/>
        <v>8842.7000000000007</v>
      </c>
      <c r="H31" s="69">
        <f t="shared" si="11"/>
        <v>5960.9</v>
      </c>
      <c r="I31" s="69">
        <f t="shared" si="11"/>
        <v>9148.7999999999993</v>
      </c>
      <c r="J31" s="69">
        <f t="shared" si="11"/>
        <v>10414.5</v>
      </c>
      <c r="K31" s="69">
        <f t="shared" si="11"/>
        <v>8176.8</v>
      </c>
      <c r="L31" s="69">
        <f t="shared" si="11"/>
        <v>6357.2</v>
      </c>
      <c r="M31" s="69">
        <f t="shared" si="11"/>
        <v>6357.2</v>
      </c>
      <c r="N31" s="88">
        <f>SUM(N29:N30)</f>
        <v>88410.04</v>
      </c>
    </row>
    <row r="32" spans="1:15" ht="12.75" x14ac:dyDescent="0.2">
      <c r="A32" s="37" t="s">
        <v>100</v>
      </c>
      <c r="B32" s="38">
        <f>TAs!C10</f>
        <v>2093.35</v>
      </c>
      <c r="C32" s="38">
        <f>TAs!F10</f>
        <v>418.67</v>
      </c>
      <c r="D32" s="38">
        <f>TAs!I15</f>
        <v>3349.3599999999997</v>
      </c>
      <c r="E32" s="38">
        <f>TAs!L15</f>
        <v>3349.3599999999997</v>
      </c>
      <c r="F32" s="38">
        <f>TAs!O15</f>
        <v>-1256.01</v>
      </c>
      <c r="G32" s="38">
        <f>TAs!R10</f>
        <v>2093.35</v>
      </c>
      <c r="H32" s="38">
        <f>TAs!C28</f>
        <v>1594.3199999999997</v>
      </c>
      <c r="I32" s="38">
        <f>TAs!F28</f>
        <v>1293.5999999999999</v>
      </c>
      <c r="J32" s="38">
        <f>TAs!I28</f>
        <v>1293.5999999999999</v>
      </c>
      <c r="K32" s="38">
        <f>TAs!L28</f>
        <v>2587.1999999999998</v>
      </c>
      <c r="L32" s="38">
        <f>TAs!O28</f>
        <v>2587.1999999999998</v>
      </c>
      <c r="M32" s="38">
        <f>TAs!R28</f>
        <v>2587.1999999999998</v>
      </c>
      <c r="N32" s="38">
        <f>SUM(B32:M32)</f>
        <v>21991.200000000001</v>
      </c>
    </row>
    <row r="33" spans="1:15" ht="12.75" x14ac:dyDescent="0.2">
      <c r="A33" s="59" t="s">
        <v>175</v>
      </c>
      <c r="B33" s="38">
        <f>TAs!D10</f>
        <v>0</v>
      </c>
      <c r="C33" s="38">
        <f>TAs!G14</f>
        <v>0</v>
      </c>
      <c r="D33" s="38">
        <f>TAs!J15</f>
        <v>0</v>
      </c>
      <c r="E33" s="38">
        <f>TAs!M15</f>
        <v>0</v>
      </c>
      <c r="F33" s="38">
        <f>TAs!P15</f>
        <v>0</v>
      </c>
      <c r="G33" s="38">
        <f>TAs!S10</f>
        <v>0</v>
      </c>
      <c r="H33" s="38">
        <f>TAs!D28</f>
        <v>0</v>
      </c>
      <c r="I33" s="38">
        <f>TAs!G28</f>
        <v>0</v>
      </c>
      <c r="J33" s="38">
        <f>TAs!J28</f>
        <v>0</v>
      </c>
      <c r="K33" s="38">
        <f>TAs!M28</f>
        <v>0</v>
      </c>
      <c r="L33" s="38">
        <f>TAs!P28</f>
        <v>0</v>
      </c>
      <c r="M33" s="38">
        <f>TAs!S28</f>
        <v>0</v>
      </c>
      <c r="N33" s="38">
        <f>SUM(B33:M33)</f>
        <v>0</v>
      </c>
    </row>
    <row r="34" spans="1:15" ht="12.75" x14ac:dyDescent="0.2">
      <c r="A34" s="41" t="s">
        <v>287</v>
      </c>
      <c r="B34" s="69">
        <f>SUM(B32:B33)</f>
        <v>2093.35</v>
      </c>
      <c r="C34" s="69">
        <f t="shared" ref="C34:N34" si="12">SUM(C32:C33)</f>
        <v>418.67</v>
      </c>
      <c r="D34" s="69">
        <f t="shared" si="12"/>
        <v>3349.3599999999997</v>
      </c>
      <c r="E34" s="69">
        <f t="shared" si="12"/>
        <v>3349.3599999999997</v>
      </c>
      <c r="F34" s="69">
        <f t="shared" si="12"/>
        <v>-1256.01</v>
      </c>
      <c r="G34" s="69">
        <f t="shared" si="12"/>
        <v>2093.35</v>
      </c>
      <c r="H34" s="69">
        <f t="shared" si="12"/>
        <v>1594.3199999999997</v>
      </c>
      <c r="I34" s="69">
        <f t="shared" si="12"/>
        <v>1293.5999999999999</v>
      </c>
      <c r="J34" s="69">
        <f t="shared" si="12"/>
        <v>1293.5999999999999</v>
      </c>
      <c r="K34" s="69">
        <f t="shared" si="12"/>
        <v>2587.1999999999998</v>
      </c>
      <c r="L34" s="69">
        <f t="shared" si="12"/>
        <v>2587.1999999999998</v>
      </c>
      <c r="M34" s="69">
        <f t="shared" si="12"/>
        <v>2587.1999999999998</v>
      </c>
      <c r="N34" s="69">
        <f t="shared" si="12"/>
        <v>21991.200000000001</v>
      </c>
    </row>
    <row r="35" spans="1:15" ht="12.75" x14ac:dyDescent="0.2">
      <c r="A35" s="37" t="s">
        <v>101</v>
      </c>
      <c r="B35" s="38">
        <f>'ISA''s'!C46</f>
        <v>2550.9</v>
      </c>
      <c r="C35" s="38">
        <f>'ISA''s'!F46</f>
        <v>216</v>
      </c>
      <c r="D35" s="38">
        <f>'ISA''s'!I46</f>
        <v>0</v>
      </c>
      <c r="E35" s="38">
        <f>'ISA''s'!L46</f>
        <v>178.5</v>
      </c>
      <c r="F35" s="38">
        <f>'ISA''s'!O46</f>
        <v>8809.3499999999985</v>
      </c>
      <c r="G35" s="38">
        <f>'ISA''s'!R46</f>
        <v>7805.4</v>
      </c>
      <c r="H35" s="38">
        <f>'ISA''s'!B80</f>
        <v>3937.69</v>
      </c>
      <c r="I35" s="38">
        <f>'ISA''s'!E80</f>
        <v>3578.63</v>
      </c>
      <c r="J35" s="38">
        <f>'ISA''s'!H80</f>
        <v>7434.5</v>
      </c>
      <c r="K35" s="38">
        <f>'ISA''s'!K80</f>
        <v>5775.63</v>
      </c>
      <c r="L35" s="38">
        <f>'ISA''s'!N80</f>
        <v>5775.63</v>
      </c>
      <c r="M35" s="38">
        <f>'ISA''s'!Q80</f>
        <v>5775.63</v>
      </c>
      <c r="N35" s="87">
        <f>SUM(B35:M35)</f>
        <v>51837.859999999993</v>
      </c>
      <c r="O35" s="96"/>
    </row>
    <row r="36" spans="1:15" ht="12.75" x14ac:dyDescent="0.2">
      <c r="A36" s="59" t="s">
        <v>174</v>
      </c>
      <c r="B36" s="38">
        <f>'ISA''s'!D46</f>
        <v>0</v>
      </c>
      <c r="C36" s="38">
        <f>'ISA''s'!G46</f>
        <v>0</v>
      </c>
      <c r="D36" s="38">
        <f>'ISA''s'!J46</f>
        <v>0</v>
      </c>
      <c r="E36" s="38">
        <f>'ISA''s'!M46</f>
        <v>0</v>
      </c>
      <c r="F36" s="38">
        <f>'ISA''s'!P46</f>
        <v>0</v>
      </c>
      <c r="G36" s="38">
        <f>'ISA''s'!S46</f>
        <v>0</v>
      </c>
      <c r="H36" s="38">
        <f>'ISA''s'!D80</f>
        <v>0</v>
      </c>
      <c r="I36" s="38">
        <f>'ISA''s'!G80</f>
        <v>0</v>
      </c>
      <c r="J36" s="38">
        <f>'ISA''s'!J80</f>
        <v>0</v>
      </c>
      <c r="K36" s="38">
        <f>'ISA''s'!M80</f>
        <v>0</v>
      </c>
      <c r="L36" s="38">
        <f>'ISA''s'!P80</f>
        <v>0</v>
      </c>
      <c r="M36" s="38">
        <f>'ISA''s'!S80</f>
        <v>0</v>
      </c>
      <c r="N36" s="87">
        <f>SUM(B36:M36)</f>
        <v>0</v>
      </c>
    </row>
    <row r="37" spans="1:15" s="49" customFormat="1" ht="12.75" x14ac:dyDescent="0.2">
      <c r="A37" s="41" t="s">
        <v>288</v>
      </c>
      <c r="B37" s="69">
        <f>SUM(B35:B36)</f>
        <v>2550.9</v>
      </c>
      <c r="C37" s="69">
        <f t="shared" ref="C37:N37" si="13">SUM(C35:C36)</f>
        <v>216</v>
      </c>
      <c r="D37" s="69">
        <f t="shared" si="13"/>
        <v>0</v>
      </c>
      <c r="E37" s="69">
        <f t="shared" si="13"/>
        <v>178.5</v>
      </c>
      <c r="F37" s="69">
        <f t="shared" si="13"/>
        <v>8809.3499999999985</v>
      </c>
      <c r="G37" s="69">
        <f t="shared" si="13"/>
        <v>7805.4</v>
      </c>
      <c r="H37" s="69">
        <f t="shared" si="13"/>
        <v>3937.69</v>
      </c>
      <c r="I37" s="69">
        <f t="shared" si="13"/>
        <v>3578.63</v>
      </c>
      <c r="J37" s="69">
        <f t="shared" si="13"/>
        <v>7434.5</v>
      </c>
      <c r="K37" s="69">
        <f t="shared" si="13"/>
        <v>5775.63</v>
      </c>
      <c r="L37" s="69">
        <f t="shared" si="13"/>
        <v>5775.63</v>
      </c>
      <c r="M37" s="69">
        <f t="shared" si="13"/>
        <v>5775.63</v>
      </c>
      <c r="N37" s="69">
        <f t="shared" si="13"/>
        <v>51837.859999999993</v>
      </c>
      <c r="O37" s="167"/>
    </row>
    <row r="38" spans="1:15" ht="12.75" x14ac:dyDescent="0.2">
      <c r="A38" s="37" t="s">
        <v>4</v>
      </c>
      <c r="B38" s="38">
        <v>0</v>
      </c>
      <c r="C38" s="38">
        <f>B38</f>
        <v>0</v>
      </c>
      <c r="D38" s="38">
        <f t="shared" ref="D38:M38" si="14">C38</f>
        <v>0</v>
      </c>
      <c r="E38" s="38">
        <f t="shared" si="14"/>
        <v>0</v>
      </c>
      <c r="F38" s="38">
        <f t="shared" si="14"/>
        <v>0</v>
      </c>
      <c r="G38" s="38">
        <f t="shared" si="14"/>
        <v>0</v>
      </c>
      <c r="H38" s="38">
        <f t="shared" si="14"/>
        <v>0</v>
      </c>
      <c r="I38" s="38">
        <f t="shared" si="14"/>
        <v>0</v>
      </c>
      <c r="J38" s="38">
        <f t="shared" si="14"/>
        <v>0</v>
      </c>
      <c r="K38" s="38">
        <f t="shared" si="14"/>
        <v>0</v>
      </c>
      <c r="L38" s="38">
        <f t="shared" si="14"/>
        <v>0</v>
      </c>
      <c r="M38" s="38">
        <f t="shared" si="14"/>
        <v>0</v>
      </c>
      <c r="N38" s="87">
        <f>SUM(B38:M38)</f>
        <v>0</v>
      </c>
    </row>
    <row r="39" spans="1:15" ht="13.5" thickBot="1" x14ac:dyDescent="0.25">
      <c r="A39" s="59" t="s">
        <v>184</v>
      </c>
      <c r="B39" s="39">
        <v>0</v>
      </c>
      <c r="C39" s="39">
        <v>0</v>
      </c>
      <c r="D39" s="39">
        <v>0</v>
      </c>
      <c r="E39" s="39">
        <f t="shared" ref="E39:M39" si="15">D39</f>
        <v>0</v>
      </c>
      <c r="F39" s="39">
        <f t="shared" si="15"/>
        <v>0</v>
      </c>
      <c r="G39" s="39">
        <f t="shared" si="15"/>
        <v>0</v>
      </c>
      <c r="H39" s="39">
        <f t="shared" si="15"/>
        <v>0</v>
      </c>
      <c r="I39" s="39">
        <f t="shared" si="15"/>
        <v>0</v>
      </c>
      <c r="J39" s="39">
        <f t="shared" si="15"/>
        <v>0</v>
      </c>
      <c r="K39" s="39">
        <f t="shared" si="15"/>
        <v>0</v>
      </c>
      <c r="L39" s="39">
        <f t="shared" si="15"/>
        <v>0</v>
      </c>
      <c r="M39" s="39">
        <f t="shared" si="15"/>
        <v>0</v>
      </c>
      <c r="N39" s="89">
        <f>SUM(B39:M39)</f>
        <v>0</v>
      </c>
    </row>
    <row r="40" spans="1:15" ht="12.75" x14ac:dyDescent="0.2">
      <c r="A40" s="37" t="s">
        <v>74</v>
      </c>
      <c r="B40" s="40">
        <f>B3+B6+B9+B12+B15+B17+B20+B23+B26+B29+B32+B35+B38+B39</f>
        <v>266191.06</v>
      </c>
      <c r="C40" s="40">
        <f t="shared" ref="C40:N40" si="16">C3+C6+C9+C12+C15+C17+C20+C23+C26+C29+C32+C35+C38+C39</f>
        <v>260175.35</v>
      </c>
      <c r="D40" s="40">
        <f t="shared" si="16"/>
        <v>286699.48</v>
      </c>
      <c r="E40" s="40">
        <f t="shared" si="16"/>
        <v>276243.81</v>
      </c>
      <c r="F40" s="40">
        <f t="shared" si="16"/>
        <v>286015.2099999999</v>
      </c>
      <c r="G40" s="40">
        <f t="shared" si="16"/>
        <v>284140.53999999998</v>
      </c>
      <c r="H40" s="40">
        <f t="shared" si="16"/>
        <v>277957.48000000004</v>
      </c>
      <c r="I40" s="40">
        <f t="shared" si="16"/>
        <v>279591.59999999998</v>
      </c>
      <c r="J40" s="40">
        <f t="shared" si="16"/>
        <v>284713.17</v>
      </c>
      <c r="K40" s="40">
        <f t="shared" si="16"/>
        <v>281101.5</v>
      </c>
      <c r="L40" s="40">
        <f t="shared" si="16"/>
        <v>279289.99</v>
      </c>
      <c r="M40" s="40">
        <f t="shared" si="16"/>
        <v>278753.99</v>
      </c>
      <c r="N40" s="40">
        <f t="shared" si="16"/>
        <v>3340873.18</v>
      </c>
    </row>
    <row r="41" spans="1:15" ht="12.75" x14ac:dyDescent="0.2">
      <c r="A41" s="37" t="s">
        <v>75</v>
      </c>
      <c r="B41" s="38">
        <f>SUM(B18+B27+B24+B21+B30+B13+B4+B7+B10++B33+B36)</f>
        <v>128390.91999999998</v>
      </c>
      <c r="C41" s="38">
        <f t="shared" ref="C41:N41" si="17">SUM(C18+C27+C24+C21+C30+C13+C4+C7+C10++C33+C36)</f>
        <v>128752.98999999998</v>
      </c>
      <c r="D41" s="38">
        <f t="shared" si="17"/>
        <v>137696.33999999997</v>
      </c>
      <c r="E41" s="38">
        <f t="shared" si="17"/>
        <v>141123.31999999998</v>
      </c>
      <c r="F41" s="38">
        <f t="shared" si="17"/>
        <v>142785.32</v>
      </c>
      <c r="G41" s="38">
        <f t="shared" si="17"/>
        <v>140624.29</v>
      </c>
      <c r="H41" s="38">
        <f t="shared" si="17"/>
        <v>140098.28000000003</v>
      </c>
      <c r="I41" s="38">
        <f t="shared" si="17"/>
        <v>139591.31</v>
      </c>
      <c r="J41" s="38">
        <f t="shared" si="17"/>
        <v>139718.59999999998</v>
      </c>
      <c r="K41" s="38">
        <f t="shared" si="17"/>
        <v>137591.62</v>
      </c>
      <c r="L41" s="38">
        <f t="shared" si="17"/>
        <v>138010.73000000001</v>
      </c>
      <c r="M41" s="38">
        <f t="shared" si="17"/>
        <v>138208.60999999999</v>
      </c>
      <c r="N41" s="38">
        <f t="shared" si="17"/>
        <v>1652592.33</v>
      </c>
      <c r="O41" s="143"/>
    </row>
    <row r="42" spans="1:15" s="49" customFormat="1" ht="12.75" x14ac:dyDescent="0.2">
      <c r="A42" s="41" t="s">
        <v>96</v>
      </c>
      <c r="B42" s="42">
        <f>SUM(B40:B41)</f>
        <v>394581.98</v>
      </c>
      <c r="C42" s="42">
        <f t="shared" ref="C42:M42" si="18">SUM(C40:C41)</f>
        <v>388928.33999999997</v>
      </c>
      <c r="D42" s="42">
        <f t="shared" si="18"/>
        <v>424395.81999999995</v>
      </c>
      <c r="E42" s="42">
        <f t="shared" si="18"/>
        <v>417367.13</v>
      </c>
      <c r="F42" s="42">
        <f t="shared" si="18"/>
        <v>428800.52999999991</v>
      </c>
      <c r="G42" s="42">
        <f t="shared" si="18"/>
        <v>424764.82999999996</v>
      </c>
      <c r="H42" s="42">
        <f t="shared" si="18"/>
        <v>418055.76000000007</v>
      </c>
      <c r="I42" s="42">
        <f t="shared" si="18"/>
        <v>419182.91</v>
      </c>
      <c r="J42" s="42">
        <f t="shared" si="18"/>
        <v>424431.76999999996</v>
      </c>
      <c r="K42" s="42">
        <f t="shared" si="18"/>
        <v>418693.12</v>
      </c>
      <c r="L42" s="42">
        <f t="shared" si="18"/>
        <v>417300.72</v>
      </c>
      <c r="M42" s="42">
        <f t="shared" si="18"/>
        <v>416962.6</v>
      </c>
      <c r="N42" s="42">
        <f>SUM(N40:N41)</f>
        <v>4993465.51</v>
      </c>
      <c r="O42" s="167"/>
    </row>
    <row r="43" spans="1:15" ht="12.75" x14ac:dyDescent="0.2">
      <c r="A43" s="30"/>
      <c r="B43" s="54">
        <v>0</v>
      </c>
      <c r="C43" s="20"/>
      <c r="D43" s="20"/>
      <c r="E43" s="20"/>
      <c r="F43" s="20"/>
      <c r="G43" s="20"/>
      <c r="H43" s="20"/>
      <c r="I43" s="54"/>
      <c r="J43" s="20"/>
      <c r="K43" s="20"/>
      <c r="L43" s="20"/>
      <c r="M43" s="20"/>
      <c r="N43" s="90"/>
    </row>
    <row r="44" spans="1:15" ht="12.75" x14ac:dyDescent="0.2">
      <c r="A44" s="43" t="s">
        <v>28</v>
      </c>
      <c r="B44" s="97">
        <f>'O&amp;E'!B40</f>
        <v>0</v>
      </c>
      <c r="C44" s="97">
        <f>'O&amp;E'!C40</f>
        <v>0</v>
      </c>
      <c r="D44" s="97">
        <f>'O&amp;E'!D40</f>
        <v>0</v>
      </c>
      <c r="E44" s="97">
        <f>'O&amp;E'!E40</f>
        <v>0</v>
      </c>
      <c r="F44" s="97">
        <f>'O&amp;E'!F40</f>
        <v>0</v>
      </c>
      <c r="G44" s="97">
        <f>'O&amp;E'!G40</f>
        <v>0</v>
      </c>
      <c r="H44" s="97">
        <f>'O&amp;E'!H40</f>
        <v>0</v>
      </c>
      <c r="I44" s="97">
        <f>'O&amp;E'!I40</f>
        <v>0</v>
      </c>
      <c r="J44" s="97">
        <f>'O&amp;E'!J40</f>
        <v>0</v>
      </c>
      <c r="K44" s="97">
        <f>'O&amp;E'!K40</f>
        <v>0</v>
      </c>
      <c r="L44" s="97">
        <f>'O&amp;E'!L40</f>
        <v>0</v>
      </c>
      <c r="M44" s="97">
        <f>'O&amp;E'!M40</f>
        <v>0</v>
      </c>
      <c r="N44" s="91">
        <f>SUM(B44:M44)</f>
        <v>0</v>
      </c>
    </row>
    <row r="45" spans="1:15" ht="12.75" x14ac:dyDescent="0.2">
      <c r="A45" s="43" t="s">
        <v>29</v>
      </c>
      <c r="B45" s="97">
        <f>'O&amp;E'!B41</f>
        <v>0</v>
      </c>
      <c r="C45" s="97">
        <f>'O&amp;E'!C41</f>
        <v>0</v>
      </c>
      <c r="D45" s="97">
        <f>'O&amp;E'!D41</f>
        <v>0</v>
      </c>
      <c r="E45" s="97">
        <f>'O&amp;E'!E41</f>
        <v>0</v>
      </c>
      <c r="F45" s="97">
        <f>'O&amp;E'!F41</f>
        <v>0</v>
      </c>
      <c r="G45" s="358">
        <v>5400</v>
      </c>
      <c r="H45" s="97">
        <f>'O&amp;E'!H41</f>
        <v>0</v>
      </c>
      <c r="I45" s="97">
        <f>'O&amp;E'!I41</f>
        <v>0</v>
      </c>
      <c r="J45" s="97">
        <f>'O&amp;E'!J41</f>
        <v>0</v>
      </c>
      <c r="K45" s="97">
        <f>'O&amp;E'!K41</f>
        <v>0</v>
      </c>
      <c r="L45" s="97">
        <f>'O&amp;E'!L41</f>
        <v>0</v>
      </c>
      <c r="M45" s="97">
        <f>'O&amp;E'!M41</f>
        <v>0</v>
      </c>
      <c r="N45" s="91">
        <f>SUM(B45:M45)</f>
        <v>5400</v>
      </c>
    </row>
    <row r="46" spans="1:15" ht="12.75" x14ac:dyDescent="0.2">
      <c r="A46" s="43" t="s">
        <v>17</v>
      </c>
      <c r="B46" s="97">
        <f>'O&amp;E'!B42</f>
        <v>0</v>
      </c>
      <c r="C46" s="97">
        <f>'O&amp;E'!C42</f>
        <v>0</v>
      </c>
      <c r="D46" s="97">
        <f>'O&amp;E'!D42</f>
        <v>0</v>
      </c>
      <c r="E46" s="97">
        <f>'O&amp;E'!E42</f>
        <v>0</v>
      </c>
      <c r="F46" s="97">
        <f>'O&amp;E'!F42</f>
        <v>0</v>
      </c>
      <c r="G46" s="97">
        <f>'O&amp;E'!G42</f>
        <v>0</v>
      </c>
      <c r="H46" s="97">
        <f>'O&amp;E'!H42</f>
        <v>0</v>
      </c>
      <c r="I46" s="97">
        <v>0</v>
      </c>
      <c r="J46" s="97">
        <f>'O&amp;E'!J42</f>
        <v>0</v>
      </c>
      <c r="K46" s="97">
        <f>'O&amp;E'!I42</f>
        <v>0</v>
      </c>
      <c r="L46" s="97">
        <f>'O&amp;E'!L42</f>
        <v>0</v>
      </c>
      <c r="M46" s="97">
        <f>'O&amp;E'!M42</f>
        <v>0</v>
      </c>
      <c r="N46" s="92">
        <f>SUM(B46:M46)</f>
        <v>0</v>
      </c>
    </row>
    <row r="47" spans="1:15" ht="13.5" thickBot="1" x14ac:dyDescent="0.25">
      <c r="A47" s="43" t="s">
        <v>18</v>
      </c>
      <c r="B47" s="98">
        <f>'O&amp;E'!B43</f>
        <v>0</v>
      </c>
      <c r="C47" s="98">
        <f>'O&amp;E'!C43</f>
        <v>0</v>
      </c>
      <c r="D47" s="98">
        <f>'O&amp;E'!D43</f>
        <v>0</v>
      </c>
      <c r="E47" s="98">
        <f>'O&amp;E'!E43</f>
        <v>0</v>
      </c>
      <c r="F47" s="98">
        <f>'O&amp;E'!F43</f>
        <v>0</v>
      </c>
      <c r="G47" s="98">
        <f>'O&amp;E'!G43</f>
        <v>0</v>
      </c>
      <c r="H47" s="98">
        <f>'O&amp;E'!H43</f>
        <v>0</v>
      </c>
      <c r="I47" s="97">
        <v>0</v>
      </c>
      <c r="J47" s="98">
        <f>'O&amp;E'!J43</f>
        <v>0</v>
      </c>
      <c r="K47" s="98">
        <f>'O&amp;E'!I43</f>
        <v>0</v>
      </c>
      <c r="L47" s="98">
        <f>'O&amp;E'!L43</f>
        <v>0</v>
      </c>
      <c r="M47" s="98">
        <f>'O&amp;E'!M43</f>
        <v>0</v>
      </c>
      <c r="N47" s="93">
        <f>SUM(B47:M47)</f>
        <v>0</v>
      </c>
    </row>
    <row r="48" spans="1:15" ht="12.75" x14ac:dyDescent="0.2">
      <c r="A48" s="47" t="s">
        <v>97</v>
      </c>
      <c r="B48" s="44">
        <f>SUM(B44:B47)</f>
        <v>0</v>
      </c>
      <c r="C48" s="44">
        <f t="shared" ref="C48:M48" si="19">SUM(C44:C47)</f>
        <v>0</v>
      </c>
      <c r="D48" s="44">
        <f t="shared" si="19"/>
        <v>0</v>
      </c>
      <c r="E48" s="44">
        <f t="shared" si="19"/>
        <v>0</v>
      </c>
      <c r="F48" s="44">
        <f t="shared" si="19"/>
        <v>0</v>
      </c>
      <c r="G48" s="44">
        <f t="shared" si="19"/>
        <v>5400</v>
      </c>
      <c r="H48" s="44">
        <f t="shared" si="19"/>
        <v>0</v>
      </c>
      <c r="I48" s="151">
        <f>SUM(I44:I47)</f>
        <v>0</v>
      </c>
      <c r="J48" s="44">
        <f t="shared" si="19"/>
        <v>0</v>
      </c>
      <c r="K48" s="44">
        <f>SUM(K44:K47)</f>
        <v>0</v>
      </c>
      <c r="L48" s="44">
        <f t="shared" si="19"/>
        <v>0</v>
      </c>
      <c r="M48" s="44">
        <f t="shared" si="19"/>
        <v>0</v>
      </c>
      <c r="N48" s="94">
        <f>SUM(N44:N47)</f>
        <v>5400</v>
      </c>
    </row>
    <row r="49" spans="1:14" ht="12.75" x14ac:dyDescent="0.2">
      <c r="A49" s="30"/>
      <c r="B49" s="20"/>
      <c r="C49" s="20"/>
      <c r="D49" s="20"/>
      <c r="E49" s="20"/>
      <c r="F49" s="20"/>
      <c r="G49" s="55" t="s">
        <v>360</v>
      </c>
      <c r="H49" s="20"/>
      <c r="I49" s="20"/>
      <c r="J49" s="20"/>
      <c r="K49" s="20"/>
      <c r="L49" s="20"/>
      <c r="M49" s="20"/>
      <c r="N49" s="90"/>
    </row>
    <row r="50" spans="1:14" ht="13.5" thickBot="1" x14ac:dyDescent="0.25">
      <c r="A50" s="48" t="s">
        <v>151</v>
      </c>
      <c r="B50" s="45" t="s">
        <v>6</v>
      </c>
      <c r="C50" s="45" t="s">
        <v>7</v>
      </c>
      <c r="D50" s="45" t="s">
        <v>8</v>
      </c>
      <c r="E50" s="45" t="s">
        <v>9</v>
      </c>
      <c r="F50" s="45" t="s">
        <v>10</v>
      </c>
      <c r="G50" s="45" t="s">
        <v>11</v>
      </c>
      <c r="H50" s="45" t="s">
        <v>5</v>
      </c>
      <c r="I50" s="45" t="s">
        <v>12</v>
      </c>
      <c r="J50" s="45" t="s">
        <v>13</v>
      </c>
      <c r="K50" s="45" t="s">
        <v>14</v>
      </c>
      <c r="L50" s="45" t="s">
        <v>15</v>
      </c>
      <c r="M50" s="45" t="s">
        <v>16</v>
      </c>
      <c r="N50" s="95" t="s">
        <v>43</v>
      </c>
    </row>
    <row r="51" spans="1:14" ht="12.75" x14ac:dyDescent="0.2">
      <c r="A51" s="30" t="s">
        <v>91</v>
      </c>
      <c r="B51" s="82">
        <f>'O&amp;E'!B2</f>
        <v>203</v>
      </c>
      <c r="C51" s="82">
        <f>'O&amp;E'!C2</f>
        <v>203</v>
      </c>
      <c r="D51" s="82">
        <f>'O&amp;E'!D2</f>
        <v>203</v>
      </c>
      <c r="E51" s="82">
        <f>'O&amp;E'!E2</f>
        <v>203</v>
      </c>
      <c r="F51" s="82">
        <f>'O&amp;E'!F2</f>
        <v>203</v>
      </c>
      <c r="G51" s="82">
        <f>'O&amp;E'!G2</f>
        <v>203</v>
      </c>
      <c r="H51" s="82">
        <f>'O&amp;E'!H2</f>
        <v>203</v>
      </c>
      <c r="I51" s="82">
        <f>'O&amp;E'!I2</f>
        <v>203</v>
      </c>
      <c r="J51" s="82">
        <f>'O&amp;E'!J2</f>
        <v>203</v>
      </c>
      <c r="K51" s="82">
        <f>'O&amp;E'!K2</f>
        <v>203</v>
      </c>
      <c r="L51" s="82">
        <f>'O&amp;E'!L2</f>
        <v>203</v>
      </c>
      <c r="M51" s="82">
        <f>'O&amp;E'!M2</f>
        <v>203</v>
      </c>
      <c r="N51" s="90">
        <f>SUM(B51:M51)</f>
        <v>2436</v>
      </c>
    </row>
    <row r="52" spans="1:14" ht="12.75" x14ac:dyDescent="0.2">
      <c r="A52" s="30" t="s">
        <v>92</v>
      </c>
      <c r="B52" s="82">
        <f>'O&amp;E'!B3</f>
        <v>33.04</v>
      </c>
      <c r="C52" s="46">
        <f>'O&amp;E'!C3</f>
        <v>19.32</v>
      </c>
      <c r="D52" s="46">
        <f>'O&amp;E'!D3</f>
        <v>23.17</v>
      </c>
      <c r="E52" s="46">
        <f>'O&amp;E'!E3</f>
        <v>40.85</v>
      </c>
      <c r="F52" s="46">
        <f>'O&amp;E'!F3</f>
        <v>51.98</v>
      </c>
      <c r="G52" s="46">
        <f>'O&amp;E'!G3</f>
        <v>83.26</v>
      </c>
      <c r="H52" s="46">
        <f>'O&amp;E'!H3</f>
        <v>36.61</v>
      </c>
      <c r="I52" s="46">
        <f>'O&amp;E'!I3</f>
        <v>50.55</v>
      </c>
      <c r="J52" s="46">
        <f>'O&amp;E'!J3</f>
        <v>106.08</v>
      </c>
      <c r="K52" s="46">
        <f>'O&amp;E'!K3</f>
        <v>30.17</v>
      </c>
      <c r="L52" s="46">
        <f>'O&amp;E'!L3</f>
        <v>29.12</v>
      </c>
      <c r="M52" s="46">
        <f>'O&amp;E'!M3</f>
        <v>45</v>
      </c>
      <c r="N52" s="90">
        <f t="shared" ref="N52:N86" si="20">SUM(B52:M52)</f>
        <v>549.15000000000009</v>
      </c>
    </row>
    <row r="53" spans="1:14" ht="12.75" x14ac:dyDescent="0.2">
      <c r="A53" s="30" t="s">
        <v>93</v>
      </c>
      <c r="B53" s="82">
        <f>'O&amp;E'!B4</f>
        <v>144.57</v>
      </c>
      <c r="C53" s="46">
        <f>'O&amp;E'!C4</f>
        <v>141.81</v>
      </c>
      <c r="D53" s="46">
        <f>'O&amp;E'!D4</f>
        <v>136.83000000000001</v>
      </c>
      <c r="E53" s="46">
        <f>'O&amp;E'!E4</f>
        <v>149.6</v>
      </c>
      <c r="F53" s="46">
        <f>'O&amp;E'!F4</f>
        <v>141.61000000000001</v>
      </c>
      <c r="G53" s="46">
        <f>'O&amp;E'!G4</f>
        <v>146.25</v>
      </c>
      <c r="H53" s="46">
        <f>'O&amp;E'!H4</f>
        <v>141.16999999999999</v>
      </c>
      <c r="I53" s="46">
        <f>'O&amp;E'!I4</f>
        <v>149.53</v>
      </c>
      <c r="J53" s="46">
        <f>'O&amp;E'!J4</f>
        <v>145.4</v>
      </c>
      <c r="K53" s="46">
        <f>'O&amp;E'!K4</f>
        <v>523.92999999999995</v>
      </c>
      <c r="L53" s="46">
        <f>'O&amp;E'!L4</f>
        <v>154.99</v>
      </c>
      <c r="M53" s="46">
        <f>'O&amp;E'!M4</f>
        <v>145</v>
      </c>
      <c r="N53" s="90">
        <f t="shared" si="20"/>
        <v>2120.6900000000005</v>
      </c>
    </row>
    <row r="54" spans="1:14" ht="12.75" x14ac:dyDescent="0.2">
      <c r="A54" s="30" t="s">
        <v>19</v>
      </c>
      <c r="B54" s="82">
        <f>'O&amp;E'!B5</f>
        <v>0</v>
      </c>
      <c r="C54" s="46">
        <f>'O&amp;E'!C5</f>
        <v>0</v>
      </c>
      <c r="D54" s="46">
        <f>'O&amp;E'!D5</f>
        <v>0</v>
      </c>
      <c r="E54" s="46">
        <f>'O&amp;E'!E5</f>
        <v>0</v>
      </c>
      <c r="F54" s="46">
        <f>'O&amp;E'!F5</f>
        <v>80.900000000000006</v>
      </c>
      <c r="G54" s="46">
        <f>'O&amp;E'!G5</f>
        <v>0</v>
      </c>
      <c r="H54" s="46">
        <f>'O&amp;E'!H5</f>
        <v>0</v>
      </c>
      <c r="I54" s="46">
        <f>'O&amp;E'!I5</f>
        <v>48.24</v>
      </c>
      <c r="J54" s="46">
        <f>'O&amp;E'!J5</f>
        <v>0</v>
      </c>
      <c r="K54" s="46">
        <f>'O&amp;E'!K5</f>
        <v>0</v>
      </c>
      <c r="L54" s="46">
        <f>'O&amp;E'!L5</f>
        <v>0</v>
      </c>
      <c r="M54" s="46">
        <f>'O&amp;E'!M5</f>
        <v>0</v>
      </c>
      <c r="N54" s="90">
        <f t="shared" si="20"/>
        <v>129.14000000000001</v>
      </c>
    </row>
    <row r="55" spans="1:14" ht="12.75" x14ac:dyDescent="0.2">
      <c r="A55" s="30" t="s">
        <v>20</v>
      </c>
      <c r="B55" s="82">
        <f>'O&amp;E'!B6</f>
        <v>0</v>
      </c>
      <c r="C55" s="46">
        <f>'O&amp;E'!C6</f>
        <v>0</v>
      </c>
      <c r="D55" s="46">
        <f>'O&amp;E'!D6</f>
        <v>0</v>
      </c>
      <c r="E55" s="46">
        <f>'O&amp;E'!E6</f>
        <v>0</v>
      </c>
      <c r="F55" s="46">
        <f>'O&amp;E'!F6</f>
        <v>0</v>
      </c>
      <c r="G55" s="46">
        <f>'O&amp;E'!G6</f>
        <v>0</v>
      </c>
      <c r="H55" s="46">
        <f>'O&amp;E'!H6</f>
        <v>0</v>
      </c>
      <c r="I55" s="46">
        <f>'O&amp;E'!I6</f>
        <v>0</v>
      </c>
      <c r="J55" s="46">
        <f>'O&amp;E'!J6</f>
        <v>0</v>
      </c>
      <c r="K55" s="46">
        <f>'O&amp;E'!K6</f>
        <v>0</v>
      </c>
      <c r="L55" s="46">
        <f>'O&amp;E'!L6</f>
        <v>0</v>
      </c>
      <c r="M55" s="46">
        <f>'O&amp;E'!M6</f>
        <v>0</v>
      </c>
      <c r="N55" s="90">
        <f t="shared" si="20"/>
        <v>0</v>
      </c>
    </row>
    <row r="56" spans="1:14" ht="12.75" x14ac:dyDescent="0.2">
      <c r="A56" s="30" t="s">
        <v>94</v>
      </c>
      <c r="B56" s="82">
        <f>'O&amp;E'!B7</f>
        <v>0</v>
      </c>
      <c r="C56" s="46">
        <f>'O&amp;E'!C7</f>
        <v>0</v>
      </c>
      <c r="D56" s="46">
        <f>'O&amp;E'!D7</f>
        <v>30</v>
      </c>
      <c r="E56" s="46">
        <f>'O&amp;E'!E7</f>
        <v>2383</v>
      </c>
      <c r="F56" s="46">
        <f>'O&amp;E'!F7</f>
        <v>75</v>
      </c>
      <c r="G56" s="46">
        <f>'O&amp;E'!G7</f>
        <v>749</v>
      </c>
      <c r="H56" s="46">
        <f>'O&amp;E'!H7</f>
        <v>565</v>
      </c>
      <c r="I56" s="46">
        <f>'O&amp;E'!I7</f>
        <v>3636.28</v>
      </c>
      <c r="J56" s="46">
        <f>'O&amp;E'!J7</f>
        <v>1512.78</v>
      </c>
      <c r="K56" s="46">
        <f>'O&amp;E'!K7</f>
        <v>0</v>
      </c>
      <c r="L56" s="46">
        <f>'O&amp;E'!L7</f>
        <v>201.71</v>
      </c>
      <c r="M56" s="46">
        <f>'O&amp;E'!M7</f>
        <v>0</v>
      </c>
      <c r="N56" s="90">
        <f t="shared" si="20"/>
        <v>9152.77</v>
      </c>
    </row>
    <row r="57" spans="1:14" ht="12.75" x14ac:dyDescent="0.2">
      <c r="A57" s="30" t="s">
        <v>21</v>
      </c>
      <c r="B57" s="82">
        <f>'O&amp;E'!B8</f>
        <v>0</v>
      </c>
      <c r="C57" s="46">
        <f>'O&amp;E'!C8</f>
        <v>0</v>
      </c>
      <c r="D57" s="46">
        <f>'O&amp;E'!D8</f>
        <v>0</v>
      </c>
      <c r="E57" s="46">
        <f>'O&amp;E'!E8</f>
        <v>0</v>
      </c>
      <c r="F57" s="46">
        <f>'O&amp;E'!F8</f>
        <v>0</v>
      </c>
      <c r="G57" s="46">
        <f>'O&amp;E'!G8</f>
        <v>0</v>
      </c>
      <c r="H57" s="46">
        <f>'O&amp;E'!H8</f>
        <v>0</v>
      </c>
      <c r="I57" s="46">
        <f>'O&amp;E'!I8</f>
        <v>0</v>
      </c>
      <c r="J57" s="46">
        <f>'O&amp;E'!J8</f>
        <v>0</v>
      </c>
      <c r="K57" s="46">
        <f>'O&amp;E'!K8</f>
        <v>0</v>
      </c>
      <c r="L57" s="46">
        <f>'O&amp;E'!L8</f>
        <v>0</v>
      </c>
      <c r="M57" s="46">
        <f>'O&amp;E'!M8</f>
        <v>0</v>
      </c>
      <c r="N57" s="90">
        <f t="shared" si="20"/>
        <v>0</v>
      </c>
    </row>
    <row r="58" spans="1:14" ht="12.75" x14ac:dyDescent="0.2">
      <c r="A58" s="30" t="s">
        <v>82</v>
      </c>
      <c r="B58" s="82">
        <f>'O&amp;E'!B9</f>
        <v>0</v>
      </c>
      <c r="C58" s="46">
        <f>'O&amp;E'!C9</f>
        <v>0</v>
      </c>
      <c r="D58" s="46">
        <f>'O&amp;E'!D9</f>
        <v>0</v>
      </c>
      <c r="E58" s="46">
        <f>'O&amp;E'!E9</f>
        <v>0</v>
      </c>
      <c r="F58" s="46">
        <f>'O&amp;E'!F9</f>
        <v>0</v>
      </c>
      <c r="G58" s="46">
        <f>'O&amp;E'!G9</f>
        <v>0</v>
      </c>
      <c r="H58" s="46">
        <f>'O&amp;E'!H9</f>
        <v>0</v>
      </c>
      <c r="I58" s="46">
        <f>'O&amp;E'!I9</f>
        <v>0</v>
      </c>
      <c r="J58" s="46">
        <f>'O&amp;E'!J9</f>
        <v>0</v>
      </c>
      <c r="K58" s="46">
        <f>'O&amp;E'!K9</f>
        <v>0</v>
      </c>
      <c r="L58" s="46">
        <f>'O&amp;E'!L9</f>
        <v>0</v>
      </c>
      <c r="M58" s="46">
        <f>'O&amp;E'!M9</f>
        <v>0</v>
      </c>
      <c r="N58" s="90">
        <f t="shared" si="20"/>
        <v>0</v>
      </c>
    </row>
    <row r="59" spans="1:14" ht="12.75" x14ac:dyDescent="0.2">
      <c r="A59" s="30" t="s">
        <v>22</v>
      </c>
      <c r="B59" s="82">
        <f>'O&amp;E'!B10</f>
        <v>17.89</v>
      </c>
      <c r="C59" s="46">
        <f>'O&amp;E'!C10</f>
        <v>843.93</v>
      </c>
      <c r="D59" s="46">
        <f>'O&amp;E'!D10</f>
        <v>1.34</v>
      </c>
      <c r="E59" s="46">
        <f>'O&amp;E'!E10</f>
        <v>0</v>
      </c>
      <c r="F59" s="46">
        <f>'O&amp;E'!F10</f>
        <v>0</v>
      </c>
      <c r="G59" s="46">
        <f>'O&amp;E'!G10</f>
        <v>0</v>
      </c>
      <c r="H59" s="46">
        <f>'O&amp;E'!H10</f>
        <v>0</v>
      </c>
      <c r="I59" s="46">
        <f>'O&amp;E'!I10</f>
        <v>0</v>
      </c>
      <c r="J59" s="46">
        <f>'O&amp;E'!J10</f>
        <v>0</v>
      </c>
      <c r="K59" s="46">
        <f>'O&amp;E'!K10</f>
        <v>0</v>
      </c>
      <c r="L59" s="46">
        <f>'O&amp;E'!L10</f>
        <v>0</v>
      </c>
      <c r="M59" s="46">
        <f>'O&amp;E'!M10</f>
        <v>0</v>
      </c>
      <c r="N59" s="90">
        <f t="shared" si="20"/>
        <v>863.16</v>
      </c>
    </row>
    <row r="60" spans="1:14" ht="12.75" x14ac:dyDescent="0.2">
      <c r="A60" s="30" t="s">
        <v>23</v>
      </c>
      <c r="B60" s="82">
        <f>'O&amp;E'!B11</f>
        <v>0</v>
      </c>
      <c r="C60" s="46">
        <f>'O&amp;E'!C11</f>
        <v>0</v>
      </c>
      <c r="D60" s="46">
        <f>'O&amp;E'!D11</f>
        <v>6664.24</v>
      </c>
      <c r="E60" s="46">
        <f>'O&amp;E'!E11</f>
        <v>0</v>
      </c>
      <c r="F60" s="46">
        <f>'O&amp;E'!F11</f>
        <v>1835</v>
      </c>
      <c r="G60" s="46">
        <f>'O&amp;E'!G11</f>
        <v>0</v>
      </c>
      <c r="H60" s="46">
        <f>'O&amp;E'!H11</f>
        <v>0</v>
      </c>
      <c r="I60" s="46">
        <f>'O&amp;E'!I11</f>
        <v>0</v>
      </c>
      <c r="J60" s="46">
        <f>'O&amp;E'!J11</f>
        <v>0</v>
      </c>
      <c r="K60" s="46">
        <f>'O&amp;E'!K11</f>
        <v>0</v>
      </c>
      <c r="L60" s="46">
        <f>'O&amp;E'!L11</f>
        <v>0</v>
      </c>
      <c r="M60" s="46">
        <f>'O&amp;E'!M11</f>
        <v>0</v>
      </c>
      <c r="N60" s="90">
        <f t="shared" si="20"/>
        <v>8499.24</v>
      </c>
    </row>
    <row r="61" spans="1:14" ht="12.75" x14ac:dyDescent="0.2">
      <c r="A61" s="30" t="s">
        <v>103</v>
      </c>
      <c r="B61" s="82">
        <f>'O&amp;E'!B12</f>
        <v>0</v>
      </c>
      <c r="C61" s="46">
        <f>'O&amp;E'!C12</f>
        <v>0</v>
      </c>
      <c r="D61" s="46">
        <f>'O&amp;E'!D12</f>
        <v>0</v>
      </c>
      <c r="E61" s="46">
        <f>'O&amp;E'!E12</f>
        <v>0</v>
      </c>
      <c r="F61" s="46">
        <f>'O&amp;E'!F12</f>
        <v>0</v>
      </c>
      <c r="G61" s="46">
        <f>'O&amp;E'!G12</f>
        <v>0</v>
      </c>
      <c r="H61" s="46">
        <f>'O&amp;E'!H12</f>
        <v>0</v>
      </c>
      <c r="I61" s="46">
        <f>'O&amp;E'!I12</f>
        <v>0</v>
      </c>
      <c r="J61" s="46">
        <f>'O&amp;E'!J12</f>
        <v>0</v>
      </c>
      <c r="K61" s="46">
        <f>'O&amp;E'!K12</f>
        <v>0</v>
      </c>
      <c r="L61" s="46">
        <f>'O&amp;E'!L12</f>
        <v>0</v>
      </c>
      <c r="M61" s="46">
        <f>'O&amp;E'!M12</f>
        <v>0</v>
      </c>
      <c r="N61" s="90">
        <f t="shared" si="20"/>
        <v>0</v>
      </c>
    </row>
    <row r="62" spans="1:14" ht="12.75" x14ac:dyDescent="0.2">
      <c r="A62" s="56" t="s">
        <v>259</v>
      </c>
      <c r="B62" s="82">
        <f>'O&amp;E'!B13</f>
        <v>0</v>
      </c>
      <c r="C62" s="46">
        <f>'O&amp;E'!C13</f>
        <v>0</v>
      </c>
      <c r="D62" s="46">
        <f>'O&amp;E'!D13</f>
        <v>0</v>
      </c>
      <c r="E62" s="46">
        <f>'O&amp;E'!E13</f>
        <v>0</v>
      </c>
      <c r="F62" s="46">
        <f>'O&amp;E'!F13</f>
        <v>0</v>
      </c>
      <c r="G62" s="46">
        <f>'O&amp;E'!G13</f>
        <v>0</v>
      </c>
      <c r="H62" s="46">
        <f>'O&amp;E'!H13</f>
        <v>0</v>
      </c>
      <c r="I62" s="46">
        <f>'O&amp;E'!I13</f>
        <v>0</v>
      </c>
      <c r="J62" s="46">
        <f>'O&amp;E'!J13</f>
        <v>0</v>
      </c>
      <c r="K62" s="46">
        <f>'O&amp;E'!K13</f>
        <v>0</v>
      </c>
      <c r="L62" s="46">
        <f>'O&amp;E'!L13</f>
        <v>0</v>
      </c>
      <c r="M62" s="46">
        <f>'O&amp;E'!M13</f>
        <v>0</v>
      </c>
      <c r="N62" s="90">
        <f t="shared" si="20"/>
        <v>0</v>
      </c>
    </row>
    <row r="63" spans="1:14" ht="12.75" x14ac:dyDescent="0.2">
      <c r="A63" s="30" t="s">
        <v>115</v>
      </c>
      <c r="B63" s="82">
        <f>'O&amp;E'!B14</f>
        <v>118.12</v>
      </c>
      <c r="C63" s="46">
        <f>'O&amp;E'!C14</f>
        <v>1003.29</v>
      </c>
      <c r="D63" s="46">
        <f>'O&amp;E'!D14</f>
        <v>472</v>
      </c>
      <c r="E63" s="46">
        <f>'O&amp;E'!E14</f>
        <v>76.59</v>
      </c>
      <c r="F63" s="46">
        <f>'O&amp;E'!F14</f>
        <v>1132.1600000000001</v>
      </c>
      <c r="G63" s="46">
        <f>'O&amp;E'!G14</f>
        <v>31.07</v>
      </c>
      <c r="H63" s="46">
        <f>'O&amp;E'!H14</f>
        <v>101.3</v>
      </c>
      <c r="I63" s="46">
        <f>'O&amp;E'!I14</f>
        <v>1231.07</v>
      </c>
      <c r="J63" s="46">
        <f>'O&amp;E'!J14</f>
        <v>0</v>
      </c>
      <c r="K63" s="46">
        <f>'O&amp;E'!K14</f>
        <v>218.13</v>
      </c>
      <c r="L63" s="46">
        <f>'O&amp;E'!L14</f>
        <v>500</v>
      </c>
      <c r="M63" s="46">
        <f>'O&amp;E'!M14</f>
        <v>500</v>
      </c>
      <c r="N63" s="90">
        <f t="shared" si="20"/>
        <v>5383.7300000000005</v>
      </c>
    </row>
    <row r="64" spans="1:14" ht="12.75" x14ac:dyDescent="0.2">
      <c r="A64" s="30" t="s">
        <v>24</v>
      </c>
      <c r="B64" s="82">
        <f>'O&amp;E'!B15</f>
        <v>0</v>
      </c>
      <c r="C64" s="46">
        <f>'O&amp;E'!C15</f>
        <v>0</v>
      </c>
      <c r="D64" s="46">
        <f>'O&amp;E'!D15</f>
        <v>0</v>
      </c>
      <c r="E64" s="46">
        <f>'O&amp;E'!E15</f>
        <v>0</v>
      </c>
      <c r="F64" s="46">
        <f>'O&amp;E'!F15</f>
        <v>0</v>
      </c>
      <c r="G64" s="46">
        <f>'O&amp;E'!G15</f>
        <v>0</v>
      </c>
      <c r="H64" s="46">
        <f>'O&amp;E'!H15</f>
        <v>0</v>
      </c>
      <c r="I64" s="46">
        <f>'O&amp;E'!I15</f>
        <v>0</v>
      </c>
      <c r="J64" s="46">
        <f>'O&amp;E'!J15</f>
        <v>0</v>
      </c>
      <c r="K64" s="46">
        <f>'O&amp;E'!K15</f>
        <v>0</v>
      </c>
      <c r="L64" s="46">
        <f>'O&amp;E'!L15</f>
        <v>0</v>
      </c>
      <c r="M64" s="46">
        <f>'O&amp;E'!M15</f>
        <v>0</v>
      </c>
      <c r="N64" s="90">
        <f t="shared" si="20"/>
        <v>0</v>
      </c>
    </row>
    <row r="65" spans="1:16" ht="12.75" x14ac:dyDescent="0.2">
      <c r="A65" s="30" t="s">
        <v>25</v>
      </c>
      <c r="B65" s="82">
        <f>'O&amp;E'!B16</f>
        <v>0</v>
      </c>
      <c r="C65" s="46">
        <f>'O&amp;E'!C16</f>
        <v>0</v>
      </c>
      <c r="D65" s="46">
        <f>'O&amp;E'!D16</f>
        <v>0</v>
      </c>
      <c r="E65" s="46">
        <f>'O&amp;E'!E16</f>
        <v>0</v>
      </c>
      <c r="F65" s="46">
        <f>'O&amp;E'!F16</f>
        <v>0</v>
      </c>
      <c r="G65" s="46">
        <f>'O&amp;E'!G16</f>
        <v>0</v>
      </c>
      <c r="H65" s="46">
        <f>'O&amp;E'!H16</f>
        <v>0</v>
      </c>
      <c r="I65" s="46">
        <f>'O&amp;E'!I16</f>
        <v>0</v>
      </c>
      <c r="J65" s="46">
        <f>'O&amp;E'!J16</f>
        <v>0</v>
      </c>
      <c r="K65" s="46">
        <f>'O&amp;E'!K16</f>
        <v>0</v>
      </c>
      <c r="L65" s="46">
        <f>'O&amp;E'!L16</f>
        <v>41195.799999999996</v>
      </c>
      <c r="M65" s="46">
        <f>'O&amp;E'!M16</f>
        <v>0</v>
      </c>
      <c r="N65" s="90">
        <f t="shared" si="20"/>
        <v>41195.799999999996</v>
      </c>
    </row>
    <row r="66" spans="1:16" ht="12.75" x14ac:dyDescent="0.2">
      <c r="A66" s="30" t="s">
        <v>116</v>
      </c>
      <c r="B66" s="82">
        <f>'O&amp;E'!B17</f>
        <v>75.64</v>
      </c>
      <c r="C66" s="46">
        <f>'O&amp;E'!C17</f>
        <v>1115.07</v>
      </c>
      <c r="D66" s="46">
        <f>'O&amp;E'!D17</f>
        <v>12.92</v>
      </c>
      <c r="E66" s="46">
        <f>'O&amp;E'!E17</f>
        <v>0</v>
      </c>
      <c r="F66" s="46">
        <f>'O&amp;E'!F17</f>
        <v>275.05</v>
      </c>
      <c r="G66" s="46">
        <f>'O&amp;E'!G17</f>
        <v>0</v>
      </c>
      <c r="H66" s="46">
        <f>'O&amp;E'!H17</f>
        <v>221.2</v>
      </c>
      <c r="I66" s="46">
        <f>'O&amp;E'!I17</f>
        <v>0</v>
      </c>
      <c r="J66" s="46">
        <f>'O&amp;E'!J17</f>
        <v>0</v>
      </c>
      <c r="K66" s="46">
        <f>'O&amp;E'!K17</f>
        <v>492.25</v>
      </c>
      <c r="L66" s="46">
        <f>'O&amp;E'!L17</f>
        <v>0</v>
      </c>
      <c r="M66" s="46">
        <f>'O&amp;E'!M17</f>
        <v>0</v>
      </c>
      <c r="N66" s="90">
        <f t="shared" si="20"/>
        <v>2192.13</v>
      </c>
    </row>
    <row r="67" spans="1:16" ht="12.75" x14ac:dyDescent="0.2">
      <c r="A67" s="30" t="s">
        <v>117</v>
      </c>
      <c r="B67" s="82">
        <f>'O&amp;E'!B18</f>
        <v>104.91</v>
      </c>
      <c r="C67" s="46">
        <f>'O&amp;E'!C18</f>
        <v>410.75</v>
      </c>
      <c r="D67" s="46">
        <f>'O&amp;E'!D18</f>
        <v>108.15</v>
      </c>
      <c r="E67" s="46">
        <f>'O&amp;E'!E18</f>
        <v>167.21</v>
      </c>
      <c r="F67" s="46">
        <f>'O&amp;E'!F18</f>
        <v>309.52</v>
      </c>
      <c r="G67" s="46">
        <f>'O&amp;E'!G18</f>
        <v>30.6</v>
      </c>
      <c r="H67" s="46">
        <f>'O&amp;E'!H18</f>
        <v>0</v>
      </c>
      <c r="I67" s="46">
        <f>'O&amp;E'!I18</f>
        <v>209.15</v>
      </c>
      <c r="J67" s="46">
        <f>'O&amp;E'!J18</f>
        <v>45.36</v>
      </c>
      <c r="K67" s="46">
        <f>'O&amp;E'!K18</f>
        <v>108.15</v>
      </c>
      <c r="L67" s="46">
        <f>'O&amp;E'!L18</f>
        <v>424.89</v>
      </c>
      <c r="M67" s="46">
        <f>'O&amp;E'!M18</f>
        <v>0</v>
      </c>
      <c r="N67" s="90">
        <f t="shared" si="20"/>
        <v>1918.69</v>
      </c>
    </row>
    <row r="68" spans="1:16" ht="12.75" x14ac:dyDescent="0.2">
      <c r="A68" s="56" t="s">
        <v>145</v>
      </c>
      <c r="B68" s="82">
        <f>'O&amp;E'!B20</f>
        <v>34</v>
      </c>
      <c r="C68" s="46">
        <f>'O&amp;E'!C20</f>
        <v>17</v>
      </c>
      <c r="D68" s="46">
        <f>'O&amp;E'!D20</f>
        <v>17</v>
      </c>
      <c r="E68" s="46">
        <f>'O&amp;E'!E19</f>
        <v>0</v>
      </c>
      <c r="F68" s="46">
        <f>'O&amp;E'!F19</f>
        <v>0</v>
      </c>
      <c r="G68" s="46">
        <f>'O&amp;E'!G19</f>
        <v>0</v>
      </c>
      <c r="H68" s="46">
        <f>'O&amp;E'!H19</f>
        <v>0</v>
      </c>
      <c r="I68" s="46">
        <f>'O&amp;E'!I19</f>
        <v>0</v>
      </c>
      <c r="J68" s="46">
        <f>'O&amp;E'!J19</f>
        <v>0</v>
      </c>
      <c r="K68" s="46">
        <f>'O&amp;E'!K19</f>
        <v>0</v>
      </c>
      <c r="L68" s="46">
        <f>'O&amp;E'!L19</f>
        <v>0</v>
      </c>
      <c r="M68" s="46">
        <f>'O&amp;E'!M19</f>
        <v>0</v>
      </c>
      <c r="N68" s="90">
        <f t="shared" si="20"/>
        <v>68</v>
      </c>
    </row>
    <row r="69" spans="1:16" ht="12.75" x14ac:dyDescent="0.2">
      <c r="A69" s="56" t="s">
        <v>146</v>
      </c>
      <c r="B69" s="82">
        <f>'O&amp;E'!B19</f>
        <v>0</v>
      </c>
      <c r="C69" s="46">
        <f>'O&amp;E'!C19</f>
        <v>0</v>
      </c>
      <c r="D69" s="46">
        <f>'O&amp;E'!D19</f>
        <v>0</v>
      </c>
      <c r="E69" s="46">
        <f>'O&amp;E'!E20</f>
        <v>17</v>
      </c>
      <c r="F69" s="46">
        <f>'O&amp;E'!F20</f>
        <v>17</v>
      </c>
      <c r="G69" s="46">
        <f>'O&amp;E'!G20</f>
        <v>17</v>
      </c>
      <c r="H69" s="46">
        <f>'O&amp;E'!H20</f>
        <v>17</v>
      </c>
      <c r="I69" s="46">
        <f>'O&amp;E'!I20</f>
        <v>17</v>
      </c>
      <c r="J69" s="46">
        <f>'O&amp;E'!J20</f>
        <v>17</v>
      </c>
      <c r="K69" s="46">
        <f>'O&amp;E'!K20</f>
        <v>17</v>
      </c>
      <c r="L69" s="46">
        <f>'O&amp;E'!L20</f>
        <v>17</v>
      </c>
      <c r="M69" s="46">
        <f>'O&amp;E'!M20</f>
        <v>17</v>
      </c>
      <c r="N69" s="90">
        <f t="shared" si="20"/>
        <v>153</v>
      </c>
    </row>
    <row r="70" spans="1:16" ht="12.75" x14ac:dyDescent="0.2">
      <c r="A70" s="30" t="s">
        <v>26</v>
      </c>
      <c r="B70" s="82">
        <f>'O&amp;E'!B21</f>
        <v>1396.43</v>
      </c>
      <c r="C70" s="46">
        <f>'O&amp;E'!C21</f>
        <v>18.260000000000002</v>
      </c>
      <c r="D70" s="46">
        <f>'O&amp;E'!D21</f>
        <v>89.87</v>
      </c>
      <c r="E70" s="46">
        <f>'O&amp;E'!E21</f>
        <v>778.01</v>
      </c>
      <c r="F70" s="46">
        <f>'O&amp;E'!F21</f>
        <v>364.84</v>
      </c>
      <c r="G70" s="46">
        <f>'O&amp;E'!G21</f>
        <v>0</v>
      </c>
      <c r="H70" s="46">
        <f>'O&amp;E'!H21</f>
        <v>0</v>
      </c>
      <c r="I70" s="46">
        <f>'O&amp;E'!I21</f>
        <v>0</v>
      </c>
      <c r="J70" s="46">
        <f>'O&amp;E'!J21</f>
        <v>0</v>
      </c>
      <c r="K70" s="46">
        <f>'O&amp;E'!K21</f>
        <v>307.57</v>
      </c>
      <c r="L70" s="46">
        <f>'O&amp;E'!L21</f>
        <v>0</v>
      </c>
      <c r="M70" s="46">
        <f>'O&amp;E'!M21</f>
        <v>0</v>
      </c>
      <c r="N70" s="90">
        <f t="shared" si="20"/>
        <v>2954.98</v>
      </c>
    </row>
    <row r="71" spans="1:16" ht="12.75" x14ac:dyDescent="0.2">
      <c r="A71" s="30" t="s">
        <v>45</v>
      </c>
      <c r="B71" s="82">
        <f>'O&amp;E'!B22</f>
        <v>0</v>
      </c>
      <c r="C71" s="46">
        <f>'O&amp;E'!C22</f>
        <v>0</v>
      </c>
      <c r="D71" s="46">
        <f>'O&amp;E'!D22</f>
        <v>0</v>
      </c>
      <c r="E71" s="46">
        <f>'O&amp;E'!E22</f>
        <v>6.41</v>
      </c>
      <c r="F71" s="46">
        <f>'O&amp;E'!F22</f>
        <v>0</v>
      </c>
      <c r="G71" s="46">
        <f>'O&amp;E'!G22</f>
        <v>0</v>
      </c>
      <c r="H71" s="46">
        <f>'O&amp;E'!H22</f>
        <v>16</v>
      </c>
      <c r="I71" s="46">
        <f>'O&amp;E'!I22</f>
        <v>4</v>
      </c>
      <c r="J71" s="46">
        <f>'O&amp;E'!J22</f>
        <v>0</v>
      </c>
      <c r="K71" s="46">
        <f>'O&amp;E'!K22</f>
        <v>4</v>
      </c>
      <c r="L71" s="46">
        <f>'O&amp;E'!L22</f>
        <v>0</v>
      </c>
      <c r="M71" s="46">
        <f>'O&amp;E'!M22</f>
        <v>0</v>
      </c>
      <c r="N71" s="90">
        <f t="shared" si="20"/>
        <v>30.41</v>
      </c>
    </row>
    <row r="72" spans="1:16" ht="12.75" x14ac:dyDescent="0.2">
      <c r="A72" s="30" t="s">
        <v>27</v>
      </c>
      <c r="B72" s="82">
        <f>'O&amp;E'!B23</f>
        <v>56.75</v>
      </c>
      <c r="C72" s="46">
        <f>'O&amp;E'!C23</f>
        <v>75.2</v>
      </c>
      <c r="D72" s="46">
        <f>'O&amp;E'!D23</f>
        <v>5.51</v>
      </c>
      <c r="E72" s="46">
        <f>'O&amp;E'!E23</f>
        <v>0</v>
      </c>
      <c r="F72" s="46">
        <f>'O&amp;E'!F23</f>
        <v>7.41</v>
      </c>
      <c r="G72" s="46">
        <f>'O&amp;E'!G23</f>
        <v>29.84</v>
      </c>
      <c r="H72" s="46">
        <f>'O&amp;E'!H23</f>
        <v>2.5299999999999998</v>
      </c>
      <c r="I72" s="46">
        <f>'O&amp;E'!I23</f>
        <v>0.92</v>
      </c>
      <c r="J72" s="46">
        <f>'O&amp;E'!J23</f>
        <v>60.61</v>
      </c>
      <c r="K72" s="46">
        <f>'O&amp;E'!K23</f>
        <v>55.05</v>
      </c>
      <c r="L72" s="46">
        <f>'O&amp;E'!L23</f>
        <v>90.66</v>
      </c>
      <c r="M72" s="46">
        <f>'O&amp;E'!M23</f>
        <v>35</v>
      </c>
      <c r="N72" s="90">
        <f t="shared" si="20"/>
        <v>419.48</v>
      </c>
    </row>
    <row r="73" spans="1:16" ht="12.75" x14ac:dyDescent="0.2">
      <c r="A73" s="56" t="s">
        <v>335</v>
      </c>
      <c r="B73" s="82">
        <f>'O&amp;E'!B24</f>
        <v>157.43</v>
      </c>
      <c r="C73" s="46">
        <f>'O&amp;E'!C24</f>
        <v>0</v>
      </c>
      <c r="D73" s="46">
        <f>'O&amp;E'!D24</f>
        <v>0</v>
      </c>
      <c r="E73" s="46">
        <f>'O&amp;E'!E24</f>
        <v>0</v>
      </c>
      <c r="F73" s="46">
        <f>'O&amp;E'!F24</f>
        <v>0</v>
      </c>
      <c r="G73" s="46">
        <f>'O&amp;E'!G24</f>
        <v>0</v>
      </c>
      <c r="H73" s="46">
        <f>'O&amp;E'!H24</f>
        <v>0</v>
      </c>
      <c r="I73" s="46">
        <f>'O&amp;E'!I24</f>
        <v>0</v>
      </c>
      <c r="J73" s="46">
        <f>'O&amp;E'!J24</f>
        <v>0</v>
      </c>
      <c r="K73" s="46">
        <f>'O&amp;E'!K24</f>
        <v>0</v>
      </c>
      <c r="L73" s="46">
        <f>'O&amp;E'!L24</f>
        <v>25</v>
      </c>
      <c r="M73" s="46">
        <f>'O&amp;E'!M24</f>
        <v>25</v>
      </c>
      <c r="N73" s="90">
        <f t="shared" si="20"/>
        <v>207.43</v>
      </c>
    </row>
    <row r="74" spans="1:16" ht="12.75" x14ac:dyDescent="0.2">
      <c r="A74" s="30" t="s">
        <v>48</v>
      </c>
      <c r="B74" s="82">
        <f>'O&amp;E'!B25</f>
        <v>474.61</v>
      </c>
      <c r="C74" s="46">
        <f>'O&amp;E'!C25</f>
        <v>194.49</v>
      </c>
      <c r="D74" s="46">
        <f>'O&amp;E'!D25</f>
        <v>233.46</v>
      </c>
      <c r="E74" s="46">
        <f>'O&amp;E'!E25</f>
        <v>0</v>
      </c>
      <c r="F74" s="46">
        <f>'O&amp;E'!F25</f>
        <v>0</v>
      </c>
      <c r="G74" s="46">
        <f>'O&amp;E'!G25</f>
        <v>51.61</v>
      </c>
      <c r="H74" s="46">
        <f>'O&amp;E'!H25</f>
        <v>48.01</v>
      </c>
      <c r="I74" s="46">
        <f>'O&amp;E'!I25</f>
        <v>43.41</v>
      </c>
      <c r="J74" s="46">
        <f>'O&amp;E'!J25</f>
        <v>112.27</v>
      </c>
      <c r="K74" s="46">
        <f>'O&amp;E'!K25</f>
        <v>36.299999999999997</v>
      </c>
      <c r="L74" s="46">
        <f>'O&amp;E'!L25</f>
        <v>500</v>
      </c>
      <c r="M74" s="46">
        <f>'O&amp;E'!M25</f>
        <v>500</v>
      </c>
      <c r="N74" s="90">
        <f t="shared" si="20"/>
        <v>2194.16</v>
      </c>
    </row>
    <row r="75" spans="1:16" ht="12.75" x14ac:dyDescent="0.2">
      <c r="A75" s="56" t="s">
        <v>121</v>
      </c>
      <c r="B75" s="82">
        <f>'O&amp;E'!B26</f>
        <v>0</v>
      </c>
      <c r="C75" s="46">
        <f>'O&amp;E'!C26</f>
        <v>0</v>
      </c>
      <c r="D75" s="46">
        <f>'O&amp;E'!D26</f>
        <v>0</v>
      </c>
      <c r="E75" s="46">
        <f>'O&amp;E'!E26</f>
        <v>0</v>
      </c>
      <c r="F75" s="46">
        <f>'O&amp;E'!F26</f>
        <v>0</v>
      </c>
      <c r="G75" s="46">
        <f>'O&amp;E'!G26</f>
        <v>0</v>
      </c>
      <c r="H75" s="46">
        <f>'O&amp;E'!H26</f>
        <v>0</v>
      </c>
      <c r="I75" s="46">
        <f>'O&amp;E'!I26</f>
        <v>837.05</v>
      </c>
      <c r="J75" s="46">
        <f>'O&amp;E'!J26</f>
        <v>0</v>
      </c>
      <c r="K75" s="46">
        <f>'O&amp;E'!K26</f>
        <v>0</v>
      </c>
      <c r="L75" s="46">
        <f>'O&amp;E'!L26</f>
        <v>0</v>
      </c>
      <c r="M75" s="46">
        <f>'O&amp;E'!M26</f>
        <v>0</v>
      </c>
      <c r="N75" s="90">
        <f t="shared" si="20"/>
        <v>837.05</v>
      </c>
      <c r="P75" s="143"/>
    </row>
    <row r="76" spans="1:16" ht="12.75" x14ac:dyDescent="0.2">
      <c r="A76" s="30" t="s">
        <v>95</v>
      </c>
      <c r="B76" s="82">
        <f>'O&amp;E'!B27</f>
        <v>0</v>
      </c>
      <c r="C76" s="46">
        <f>'O&amp;E'!C27</f>
        <v>0</v>
      </c>
      <c r="D76" s="46">
        <f>'O&amp;E'!D27</f>
        <v>0</v>
      </c>
      <c r="E76" s="46">
        <f>'O&amp;E'!E27</f>
        <v>0</v>
      </c>
      <c r="F76" s="46">
        <f>'O&amp;E'!F27</f>
        <v>0</v>
      </c>
      <c r="G76" s="46">
        <f>'O&amp;E'!G27</f>
        <v>0</v>
      </c>
      <c r="H76" s="46">
        <f>'O&amp;E'!H27</f>
        <v>0</v>
      </c>
      <c r="I76" s="46">
        <f>'O&amp;E'!I27</f>
        <v>0</v>
      </c>
      <c r="J76" s="46">
        <f>'O&amp;E'!J27</f>
        <v>0</v>
      </c>
      <c r="K76" s="46">
        <f>'O&amp;E'!K27</f>
        <v>7.41</v>
      </c>
      <c r="L76" s="46">
        <f>'O&amp;E'!L27</f>
        <v>7.41</v>
      </c>
      <c r="M76" s="46">
        <f>'O&amp;E'!M27</f>
        <v>7.41</v>
      </c>
      <c r="N76" s="90">
        <f t="shared" si="20"/>
        <v>22.23</v>
      </c>
    </row>
    <row r="77" spans="1:16" ht="12.75" x14ac:dyDescent="0.2">
      <c r="A77" s="30" t="s">
        <v>44</v>
      </c>
      <c r="B77" s="82">
        <f>'O&amp;E'!B28</f>
        <v>0</v>
      </c>
      <c r="C77" s="46">
        <f>'O&amp;E'!C28</f>
        <v>0</v>
      </c>
      <c r="D77" s="46">
        <f>'O&amp;E'!D28</f>
        <v>0</v>
      </c>
      <c r="E77" s="46">
        <f>'O&amp;E'!E28</f>
        <v>3511.08</v>
      </c>
      <c r="F77" s="46">
        <f>'O&amp;E'!F28</f>
        <v>0</v>
      </c>
      <c r="G77" s="46">
        <f>'O&amp;E'!G28</f>
        <v>0</v>
      </c>
      <c r="H77" s="46">
        <f>'O&amp;E'!H28</f>
        <v>0</v>
      </c>
      <c r="I77" s="46">
        <f>'O&amp;E'!I28</f>
        <v>0</v>
      </c>
      <c r="J77" s="46">
        <f>'O&amp;E'!J28</f>
        <v>0</v>
      </c>
      <c r="K77" s="46">
        <f>'O&amp;E'!K28</f>
        <v>0</v>
      </c>
      <c r="L77" s="46">
        <f>'O&amp;E'!L28</f>
        <v>0</v>
      </c>
      <c r="M77" s="46">
        <f>'O&amp;E'!M28</f>
        <v>0</v>
      </c>
      <c r="N77" s="90">
        <f t="shared" si="20"/>
        <v>3511.08</v>
      </c>
    </row>
    <row r="78" spans="1:16" ht="12.75" x14ac:dyDescent="0.2">
      <c r="A78" s="56" t="s">
        <v>283</v>
      </c>
      <c r="B78" s="82">
        <f>'O&amp;E'!B33</f>
        <v>-170</v>
      </c>
      <c r="C78" s="46">
        <f>'O&amp;E'!C33</f>
        <v>0</v>
      </c>
      <c r="D78" s="46">
        <f>'O&amp;E'!D33</f>
        <v>0</v>
      </c>
      <c r="E78" s="46">
        <f>'O&amp;E'!E30</f>
        <v>0</v>
      </c>
      <c r="F78" s="46">
        <f>'O&amp;E'!F30</f>
        <v>0</v>
      </c>
      <c r="G78" s="46">
        <f>'O&amp;E'!G30</f>
        <v>0</v>
      </c>
      <c r="H78" s="46">
        <f>'O&amp;E'!H30</f>
        <v>0</v>
      </c>
      <c r="I78" s="46">
        <f>'O&amp;E'!I30</f>
        <v>0</v>
      </c>
      <c r="J78" s="46">
        <f>'O&amp;E'!J30</f>
        <v>0</v>
      </c>
      <c r="K78" s="46">
        <f>'O&amp;E'!K30</f>
        <v>0</v>
      </c>
      <c r="L78" s="46">
        <f>'O&amp;E'!L30</f>
        <v>0</v>
      </c>
      <c r="M78" s="46">
        <f>'O&amp;E'!M30</f>
        <v>0</v>
      </c>
      <c r="N78" s="90">
        <f t="shared" si="20"/>
        <v>-170</v>
      </c>
    </row>
    <row r="79" spans="1:16" ht="12.75" x14ac:dyDescent="0.2">
      <c r="A79" s="72" t="s">
        <v>327</v>
      </c>
      <c r="B79" s="164">
        <f>'O&amp;E'!B30</f>
        <v>0</v>
      </c>
      <c r="C79" s="164">
        <f>'O&amp;E'!C30</f>
        <v>0</v>
      </c>
      <c r="D79" s="164">
        <f>'O&amp;E'!D30</f>
        <v>0</v>
      </c>
      <c r="E79" s="164">
        <f>'O&amp;E'!E30</f>
        <v>0</v>
      </c>
      <c r="F79" s="164">
        <f>'O&amp;E'!F30</f>
        <v>0</v>
      </c>
      <c r="G79" s="164">
        <f>'O&amp;E'!G30</f>
        <v>0</v>
      </c>
      <c r="H79" s="164">
        <f>'O&amp;E'!H30</f>
        <v>0</v>
      </c>
      <c r="I79" s="164">
        <f>'O&amp;E'!I30</f>
        <v>0</v>
      </c>
      <c r="J79" s="164">
        <f>'O&amp;E'!J30</f>
        <v>0</v>
      </c>
      <c r="K79" s="164">
        <f>'O&amp;E'!K30</f>
        <v>0</v>
      </c>
      <c r="L79" s="164">
        <f>'O&amp;E'!L30</f>
        <v>0</v>
      </c>
      <c r="M79" s="164">
        <f>'O&amp;E'!M30</f>
        <v>0</v>
      </c>
      <c r="N79" s="90">
        <f t="shared" si="20"/>
        <v>0</v>
      </c>
    </row>
    <row r="80" spans="1:16" ht="12.75" x14ac:dyDescent="0.2">
      <c r="A80" s="72" t="s">
        <v>354</v>
      </c>
      <c r="B80" s="164">
        <f>'O&amp;E'!B29</f>
        <v>0</v>
      </c>
      <c r="C80" s="164">
        <f>'O&amp;E'!C29</f>
        <v>0</v>
      </c>
      <c r="D80" s="164">
        <f>'O&amp;E'!D29</f>
        <v>0</v>
      </c>
      <c r="E80" s="164">
        <f>'O&amp;E'!E29</f>
        <v>0</v>
      </c>
      <c r="F80" s="164">
        <f>'O&amp;E'!F29</f>
        <v>0</v>
      </c>
      <c r="G80" s="164">
        <f>'O&amp;E'!G29</f>
        <v>0</v>
      </c>
      <c r="H80" s="164">
        <f>'O&amp;E'!H29</f>
        <v>0</v>
      </c>
      <c r="I80" s="164">
        <f>'O&amp;E'!I29</f>
        <v>0</v>
      </c>
      <c r="J80" s="164">
        <f>'O&amp;E'!J29</f>
        <v>0</v>
      </c>
      <c r="K80" s="164">
        <f>'O&amp;E'!K29</f>
        <v>0</v>
      </c>
      <c r="L80" s="164">
        <f>'O&amp;E'!L29</f>
        <v>0</v>
      </c>
      <c r="M80" s="164">
        <f>'O&amp;E'!M29</f>
        <v>0</v>
      </c>
      <c r="N80" s="90">
        <f t="shared" si="20"/>
        <v>0</v>
      </c>
    </row>
    <row r="81" spans="1:16" ht="12.75" x14ac:dyDescent="0.2">
      <c r="A81" s="72" t="s">
        <v>328</v>
      </c>
      <c r="B81" s="164">
        <f>'O&amp;E'!B31</f>
        <v>0</v>
      </c>
      <c r="C81" s="164">
        <f>'O&amp;E'!C31</f>
        <v>0</v>
      </c>
      <c r="D81" s="164">
        <f>'O&amp;E'!D31</f>
        <v>0</v>
      </c>
      <c r="E81" s="164">
        <f>'O&amp;E'!E31</f>
        <v>0</v>
      </c>
      <c r="F81" s="164">
        <f>'O&amp;E'!F31</f>
        <v>0</v>
      </c>
      <c r="G81" s="164">
        <f>'O&amp;E'!G31</f>
        <v>0</v>
      </c>
      <c r="H81" s="164">
        <f>'O&amp;E'!H31</f>
        <v>0</v>
      </c>
      <c r="I81" s="164">
        <f>'O&amp;E'!I31</f>
        <v>0</v>
      </c>
      <c r="J81" s="164">
        <f>'O&amp;E'!J31</f>
        <v>0</v>
      </c>
      <c r="K81" s="164">
        <f>'O&amp;E'!K31</f>
        <v>0</v>
      </c>
      <c r="L81" s="164">
        <f>'O&amp;E'!L31</f>
        <v>0</v>
      </c>
      <c r="M81" s="164">
        <f>'O&amp;E'!M31</f>
        <v>0</v>
      </c>
      <c r="N81" s="90">
        <f t="shared" si="20"/>
        <v>0</v>
      </c>
    </row>
    <row r="82" spans="1:16" ht="12.75" x14ac:dyDescent="0.2">
      <c r="A82" s="56" t="s">
        <v>349</v>
      </c>
      <c r="B82" s="164">
        <f>'O&amp;E'!B32</f>
        <v>0</v>
      </c>
      <c r="C82" s="164">
        <f>'O&amp;E'!C32</f>
        <v>0</v>
      </c>
      <c r="D82" s="164">
        <f>'O&amp;E'!D32</f>
        <v>0</v>
      </c>
      <c r="E82" s="164">
        <f>'O&amp;E'!E32</f>
        <v>119.5</v>
      </c>
      <c r="F82" s="164">
        <f>'O&amp;E'!F32</f>
        <v>0</v>
      </c>
      <c r="G82" s="164">
        <f>'O&amp;E'!G32</f>
        <v>0</v>
      </c>
      <c r="H82" s="164">
        <f>'O&amp;E'!H32</f>
        <v>0</v>
      </c>
      <c r="I82" s="164">
        <f>'O&amp;E'!I32</f>
        <v>0</v>
      </c>
      <c r="J82" s="164">
        <f>'O&amp;E'!J32</f>
        <v>90</v>
      </c>
      <c r="K82" s="164">
        <f>'O&amp;E'!K32</f>
        <v>0</v>
      </c>
      <c r="L82" s="164">
        <f>'O&amp;E'!L32</f>
        <v>0</v>
      </c>
      <c r="M82" s="164">
        <f>'O&amp;E'!M32</f>
        <v>0</v>
      </c>
      <c r="N82" s="90">
        <f t="shared" si="20"/>
        <v>209.5</v>
      </c>
    </row>
    <row r="83" spans="1:16" ht="12.75" x14ac:dyDescent="0.2">
      <c r="A83" s="56" t="s">
        <v>299</v>
      </c>
      <c r="B83" s="164">
        <f>'O&amp;E'!B34</f>
        <v>0</v>
      </c>
      <c r="C83" s="164">
        <f>'O&amp;E'!C34</f>
        <v>0</v>
      </c>
      <c r="D83" s="164">
        <f>'O&amp;E'!D34</f>
        <v>0</v>
      </c>
      <c r="E83" s="164">
        <f>'O&amp;E'!E34</f>
        <v>0</v>
      </c>
      <c r="F83" s="164">
        <f>'O&amp;E'!F34</f>
        <v>0</v>
      </c>
      <c r="G83" s="164">
        <f>'O&amp;E'!G34</f>
        <v>0</v>
      </c>
      <c r="H83" s="164">
        <f>'O&amp;E'!H34</f>
        <v>0</v>
      </c>
      <c r="I83" s="164">
        <f>'O&amp;E'!I34</f>
        <v>0</v>
      </c>
      <c r="J83" s="164">
        <f>'O&amp;E'!J34</f>
        <v>1736.15</v>
      </c>
      <c r="K83" s="164">
        <f>'O&amp;E'!K34</f>
        <v>0</v>
      </c>
      <c r="L83" s="164">
        <f>'O&amp;E'!L34</f>
        <v>0</v>
      </c>
      <c r="M83" s="164">
        <f>'O&amp;E'!M34</f>
        <v>0</v>
      </c>
      <c r="N83" s="90">
        <f>'GS597'!N5</f>
        <v>11229.650000000001</v>
      </c>
      <c r="O83" s="143"/>
    </row>
    <row r="84" spans="1:16" ht="12.75" x14ac:dyDescent="0.2">
      <c r="A84" s="56" t="s">
        <v>361</v>
      </c>
      <c r="B84" s="164">
        <v>2575.02</v>
      </c>
      <c r="C84" s="164">
        <v>0</v>
      </c>
      <c r="D84" s="164">
        <v>0</v>
      </c>
      <c r="E84" s="164">
        <v>0</v>
      </c>
      <c r="F84" s="164">
        <v>0</v>
      </c>
      <c r="G84" s="164">
        <v>0</v>
      </c>
      <c r="H84" s="164">
        <v>0</v>
      </c>
      <c r="I84" s="164">
        <v>0</v>
      </c>
      <c r="J84" s="164">
        <v>0</v>
      </c>
      <c r="K84" s="164">
        <v>0</v>
      </c>
      <c r="L84" s="164">
        <v>0</v>
      </c>
      <c r="M84" s="164">
        <v>0</v>
      </c>
      <c r="N84" s="90">
        <f>SUM(B84:M84)</f>
        <v>2575.02</v>
      </c>
      <c r="O84" s="143"/>
    </row>
    <row r="85" spans="1:16" ht="12.75" x14ac:dyDescent="0.2">
      <c r="A85" s="56" t="s">
        <v>319</v>
      </c>
      <c r="B85" s="164">
        <f>'O&amp;E'!B36</f>
        <v>0</v>
      </c>
      <c r="C85" s="164">
        <f>'O&amp;E'!C36</f>
        <v>0</v>
      </c>
      <c r="D85" s="164">
        <f>'O&amp;E'!D36</f>
        <v>0</v>
      </c>
      <c r="E85" s="164">
        <f>'O&amp;E'!E36</f>
        <v>0</v>
      </c>
      <c r="F85" s="164">
        <f>'O&amp;E'!F36</f>
        <v>2302.2600000000002</v>
      </c>
      <c r="G85" s="164">
        <f>'O&amp;E'!G36</f>
        <v>0</v>
      </c>
      <c r="H85" s="164">
        <f>'O&amp;E'!H36</f>
        <v>0</v>
      </c>
      <c r="I85" s="164">
        <f>'O&amp;E'!I36</f>
        <v>0</v>
      </c>
      <c r="J85" s="164">
        <f>'O&amp;E'!J36</f>
        <v>0</v>
      </c>
      <c r="K85" s="164">
        <f>'O&amp;E'!K36</f>
        <v>0</v>
      </c>
      <c r="L85" s="164">
        <f>'O&amp;E'!L36</f>
        <v>0</v>
      </c>
      <c r="M85" s="164">
        <f>'O&amp;E'!M36</f>
        <v>7697.74</v>
      </c>
      <c r="N85" s="90">
        <f t="shared" si="20"/>
        <v>10000</v>
      </c>
      <c r="O85" s="143"/>
    </row>
    <row r="86" spans="1:16" ht="12.75" x14ac:dyDescent="0.2">
      <c r="A86" s="56" t="s">
        <v>350</v>
      </c>
      <c r="B86" s="351">
        <f>'O&amp;E'!B37</f>
        <v>0</v>
      </c>
      <c r="C86" s="57">
        <f>'O&amp;E'!C37</f>
        <v>0</v>
      </c>
      <c r="D86" s="57">
        <f>'O&amp;E'!D37</f>
        <v>0</v>
      </c>
      <c r="E86" s="57">
        <f>'O&amp;E'!E37</f>
        <v>0</v>
      </c>
      <c r="F86" s="57">
        <f>'O&amp;E'!F37</f>
        <v>858.11</v>
      </c>
      <c r="G86" s="57">
        <f>'O&amp;E'!G37</f>
        <v>0</v>
      </c>
      <c r="H86" s="57">
        <f>'O&amp;E'!H37</f>
        <v>0</v>
      </c>
      <c r="I86" s="57">
        <f>'O&amp;E'!I37</f>
        <v>0</v>
      </c>
      <c r="J86" s="57">
        <f>'O&amp;E'!J37</f>
        <v>0</v>
      </c>
      <c r="K86" s="57">
        <f>'O&amp;E'!K37</f>
        <v>0</v>
      </c>
      <c r="L86" s="57">
        <f>'O&amp;E'!L37</f>
        <v>0</v>
      </c>
      <c r="M86" s="57">
        <f>'O&amp;E'!M37</f>
        <v>4141.8900000000003</v>
      </c>
      <c r="N86" s="90">
        <f t="shared" si="20"/>
        <v>5000</v>
      </c>
      <c r="O86" s="143"/>
    </row>
    <row r="87" spans="1:16" ht="12.75" x14ac:dyDescent="0.2">
      <c r="A87" s="48" t="s">
        <v>150</v>
      </c>
      <c r="B87" s="82">
        <f>SUM(B51:B86)</f>
        <v>5221.41</v>
      </c>
      <c r="C87" s="46">
        <f t="shared" ref="C87:G87" si="21">SUM(C51:C86)</f>
        <v>4042.12</v>
      </c>
      <c r="D87" s="46">
        <f t="shared" si="21"/>
        <v>7997.49</v>
      </c>
      <c r="E87" s="46">
        <f t="shared" si="21"/>
        <v>7452.25</v>
      </c>
      <c r="F87" s="46">
        <f t="shared" si="21"/>
        <v>7653.8399999999992</v>
      </c>
      <c r="G87" s="46">
        <f t="shared" si="21"/>
        <v>1341.6299999999997</v>
      </c>
      <c r="H87" s="46">
        <f>SUM(H51:H86)</f>
        <v>1351.82</v>
      </c>
      <c r="I87" s="46">
        <f t="shared" ref="I87:M87" si="22">SUM(I51:I86)</f>
        <v>6430.2</v>
      </c>
      <c r="J87" s="46">
        <f t="shared" si="22"/>
        <v>4028.65</v>
      </c>
      <c r="K87" s="46">
        <f t="shared" si="22"/>
        <v>2002.96</v>
      </c>
      <c r="L87" s="46">
        <f t="shared" si="22"/>
        <v>43349.58</v>
      </c>
      <c r="M87" s="46">
        <f t="shared" si="22"/>
        <v>13317.04</v>
      </c>
      <c r="N87" s="46">
        <f>SUM(N51:N86)</f>
        <v>113682.49</v>
      </c>
    </row>
    <row r="88" spans="1:16" ht="12.75" x14ac:dyDescent="0.2">
      <c r="A88" s="48" t="s">
        <v>173</v>
      </c>
      <c r="B88" s="350">
        <f t="shared" ref="B88:M88" si="23">B87+B48+B42</f>
        <v>399803.38999999996</v>
      </c>
      <c r="C88" s="350">
        <f t="shared" si="23"/>
        <v>392970.45999999996</v>
      </c>
      <c r="D88" s="350">
        <f t="shared" si="23"/>
        <v>432393.30999999994</v>
      </c>
      <c r="E88" s="350">
        <f t="shared" si="23"/>
        <v>424819.38</v>
      </c>
      <c r="F88" s="350">
        <f t="shared" si="23"/>
        <v>436454.36999999994</v>
      </c>
      <c r="G88" s="350">
        <f>G87+G48+G42</f>
        <v>431506.45999999996</v>
      </c>
      <c r="H88" s="350">
        <f t="shared" si="23"/>
        <v>419407.58000000007</v>
      </c>
      <c r="I88" s="350">
        <f t="shared" si="23"/>
        <v>425613.11</v>
      </c>
      <c r="J88" s="350">
        <f t="shared" si="23"/>
        <v>428460.42</v>
      </c>
      <c r="K88" s="350">
        <f t="shared" si="23"/>
        <v>420696.08</v>
      </c>
      <c r="L88" s="350">
        <f t="shared" si="23"/>
        <v>460650.3</v>
      </c>
      <c r="M88" s="350">
        <f t="shared" si="23"/>
        <v>430279.63999999996</v>
      </c>
      <c r="N88" s="350">
        <f>SUM(B88:M88)</f>
        <v>5103054.4999999981</v>
      </c>
      <c r="O88" s="143"/>
      <c r="P88" s="143"/>
    </row>
    <row r="89" spans="1:16" s="13" customFormat="1" ht="13.5" thickBot="1" x14ac:dyDescent="0.25">
      <c r="A89" s="48" t="s">
        <v>118</v>
      </c>
      <c r="B89" s="118" t="s">
        <v>6</v>
      </c>
      <c r="C89" s="45" t="s">
        <v>7</v>
      </c>
      <c r="D89" s="45" t="s">
        <v>8</v>
      </c>
      <c r="E89" s="45" t="s">
        <v>9</v>
      </c>
      <c r="F89" s="45" t="s">
        <v>10</v>
      </c>
      <c r="G89" s="45" t="s">
        <v>11</v>
      </c>
      <c r="H89" s="45" t="s">
        <v>5</v>
      </c>
      <c r="I89" s="45" t="s">
        <v>12</v>
      </c>
      <c r="J89" s="45" t="s">
        <v>13</v>
      </c>
      <c r="K89" s="45" t="s">
        <v>14</v>
      </c>
      <c r="L89" s="45" t="s">
        <v>15</v>
      </c>
      <c r="M89" s="45" t="s">
        <v>16</v>
      </c>
      <c r="N89" s="95" t="s">
        <v>43</v>
      </c>
    </row>
    <row r="90" spans="1:16" ht="12.75" x14ac:dyDescent="0.2">
      <c r="A90" s="56" t="s">
        <v>234</v>
      </c>
      <c r="B90" s="116">
        <f>Lottery!B6</f>
        <v>0</v>
      </c>
      <c r="C90" s="116">
        <f>Lottery!C6</f>
        <v>0</v>
      </c>
      <c r="D90" s="116">
        <f>Lottery!D6</f>
        <v>0</v>
      </c>
      <c r="E90" s="116">
        <f>Lottery!E6</f>
        <v>0</v>
      </c>
      <c r="F90" s="116">
        <f>Lottery!F6</f>
        <v>0</v>
      </c>
      <c r="G90" s="116">
        <f>Lottery!G6</f>
        <v>0</v>
      </c>
      <c r="H90" s="116">
        <f>Lottery!H6</f>
        <v>0</v>
      </c>
      <c r="I90" s="116">
        <f>Lottery!I6</f>
        <v>0</v>
      </c>
      <c r="J90" s="116">
        <f>Lottery!J6</f>
        <v>0</v>
      </c>
      <c r="K90" s="116">
        <f>Lottery!K6</f>
        <v>0</v>
      </c>
      <c r="L90" s="116">
        <f>Lottery!L6</f>
        <v>0</v>
      </c>
      <c r="M90" s="116">
        <f>Lottery!M6</f>
        <v>0</v>
      </c>
      <c r="N90" s="116">
        <f>SUM(B90:M90)</f>
        <v>0</v>
      </c>
    </row>
    <row r="91" spans="1:16" ht="12.75" x14ac:dyDescent="0.2">
      <c r="A91" s="56" t="s">
        <v>235</v>
      </c>
      <c r="B91" s="116">
        <f>Lottery!B7</f>
        <v>0</v>
      </c>
      <c r="C91" s="116">
        <f>Lottery!C7</f>
        <v>0</v>
      </c>
      <c r="D91" s="116">
        <f>Lottery!D7</f>
        <v>0</v>
      </c>
      <c r="E91" s="116">
        <f>Lottery!E7</f>
        <v>0</v>
      </c>
      <c r="F91" s="116">
        <f>Lottery!F7</f>
        <v>0</v>
      </c>
      <c r="G91" s="116">
        <f>Lottery!G7</f>
        <v>0</v>
      </c>
      <c r="H91" s="116">
        <f>Lottery!H7</f>
        <v>0</v>
      </c>
      <c r="I91" s="116">
        <f>Lottery!I7</f>
        <v>0</v>
      </c>
      <c r="J91" s="116">
        <f>Lottery!J7</f>
        <v>0</v>
      </c>
      <c r="K91" s="116">
        <f>Lottery!K7</f>
        <v>0</v>
      </c>
      <c r="L91" s="116">
        <f>Lottery!L7</f>
        <v>0</v>
      </c>
      <c r="M91" s="116">
        <f>Lottery!M7</f>
        <v>0</v>
      </c>
      <c r="N91" s="116">
        <f t="shared" ref="N91:N114" si="24">SUM(B91:M91)</f>
        <v>0</v>
      </c>
    </row>
    <row r="92" spans="1:16" ht="12.75" x14ac:dyDescent="0.2">
      <c r="A92" s="56" t="s">
        <v>233</v>
      </c>
      <c r="B92" s="116">
        <f>Lottery!B8</f>
        <v>0</v>
      </c>
      <c r="C92" s="116">
        <f>Lottery!C8</f>
        <v>0</v>
      </c>
      <c r="D92" s="116">
        <f>Lottery!D8</f>
        <v>0</v>
      </c>
      <c r="E92" s="116">
        <f>Lottery!E8</f>
        <v>0</v>
      </c>
      <c r="F92" s="116">
        <f>Lottery!F8</f>
        <v>0</v>
      </c>
      <c r="G92" s="116">
        <f>Lottery!G8</f>
        <v>0</v>
      </c>
      <c r="H92" s="116">
        <f>Lottery!H8</f>
        <v>0</v>
      </c>
      <c r="I92" s="116">
        <f>Lottery!I8</f>
        <v>0</v>
      </c>
      <c r="J92" s="116">
        <f>Lottery!J8</f>
        <v>0</v>
      </c>
      <c r="K92" s="116">
        <f>Lottery!K8</f>
        <v>0</v>
      </c>
      <c r="L92" s="116">
        <f>Lottery!L8</f>
        <v>0</v>
      </c>
      <c r="M92" s="116">
        <f>Lottery!M8</f>
        <v>0</v>
      </c>
      <c r="N92" s="116">
        <f t="shared" si="24"/>
        <v>0</v>
      </c>
    </row>
    <row r="93" spans="1:16" ht="12.75" x14ac:dyDescent="0.2">
      <c r="A93" s="56" t="s">
        <v>236</v>
      </c>
      <c r="B93" s="116">
        <f>Lottery!B9</f>
        <v>0</v>
      </c>
      <c r="C93" s="116">
        <f>Lottery!C9</f>
        <v>0</v>
      </c>
      <c r="D93" s="116">
        <f>Lottery!D9</f>
        <v>0</v>
      </c>
      <c r="E93" s="116">
        <f>Lottery!E9</f>
        <v>0</v>
      </c>
      <c r="F93" s="116">
        <f>Lottery!F9</f>
        <v>0</v>
      </c>
      <c r="G93" s="116">
        <f>Lottery!G9</f>
        <v>0</v>
      </c>
      <c r="H93" s="116">
        <f>Lottery!H9</f>
        <v>0</v>
      </c>
      <c r="I93" s="116">
        <f>Lottery!I9</f>
        <v>0</v>
      </c>
      <c r="J93" s="116">
        <f>Lottery!J9</f>
        <v>0</v>
      </c>
      <c r="K93" s="116">
        <f>Lottery!K9</f>
        <v>0</v>
      </c>
      <c r="L93" s="116">
        <f>Lottery!L9</f>
        <v>0</v>
      </c>
      <c r="M93" s="116">
        <f>Lottery!M9</f>
        <v>0</v>
      </c>
      <c r="N93" s="116">
        <f t="shared" si="24"/>
        <v>0</v>
      </c>
    </row>
    <row r="94" spans="1:16" ht="12.75" x14ac:dyDescent="0.2">
      <c r="A94" s="56" t="s">
        <v>238</v>
      </c>
      <c r="B94" s="116">
        <f>Lottery!B10</f>
        <v>0</v>
      </c>
      <c r="C94" s="116">
        <f>Lottery!C10</f>
        <v>0</v>
      </c>
      <c r="D94" s="116">
        <f>Lottery!D10</f>
        <v>0</v>
      </c>
      <c r="E94" s="116">
        <f>Lottery!E10</f>
        <v>0</v>
      </c>
      <c r="F94" s="116">
        <f>Lottery!F10</f>
        <v>0</v>
      </c>
      <c r="G94" s="116">
        <f>Lottery!G10</f>
        <v>0</v>
      </c>
      <c r="H94" s="116">
        <f>Lottery!H10</f>
        <v>0</v>
      </c>
      <c r="I94" s="116">
        <f>Lottery!I10</f>
        <v>0</v>
      </c>
      <c r="J94" s="116">
        <f>Lottery!J10</f>
        <v>0</v>
      </c>
      <c r="K94" s="116">
        <f>Lottery!K10</f>
        <v>0</v>
      </c>
      <c r="L94" s="116">
        <f>Lottery!L10</f>
        <v>0</v>
      </c>
      <c r="M94" s="116">
        <f>Lottery!M10</f>
        <v>0</v>
      </c>
      <c r="N94" s="116">
        <f t="shared" si="24"/>
        <v>0</v>
      </c>
    </row>
    <row r="95" spans="1:16" ht="12.75" x14ac:dyDescent="0.2">
      <c r="A95" s="56" t="s">
        <v>237</v>
      </c>
      <c r="B95" s="116">
        <f>Lottery!B11</f>
        <v>0</v>
      </c>
      <c r="C95" s="116">
        <f>Lottery!C11</f>
        <v>0</v>
      </c>
      <c r="D95" s="116">
        <f>Lottery!D11</f>
        <v>0</v>
      </c>
      <c r="E95" s="116">
        <f>Lottery!E11</f>
        <v>0</v>
      </c>
      <c r="F95" s="116">
        <f>Lottery!F11</f>
        <v>0</v>
      </c>
      <c r="G95" s="116">
        <f>Lottery!G11</f>
        <v>0</v>
      </c>
      <c r="H95" s="116">
        <f>Lottery!H11</f>
        <v>0</v>
      </c>
      <c r="I95" s="116">
        <f>Lottery!I11</f>
        <v>0</v>
      </c>
      <c r="J95" s="116">
        <f>Lottery!J11</f>
        <v>0</v>
      </c>
      <c r="K95" s="116">
        <f>Lottery!K11</f>
        <v>0</v>
      </c>
      <c r="L95" s="116">
        <f>Lottery!L11</f>
        <v>0</v>
      </c>
      <c r="M95" s="116">
        <f>Lottery!M11</f>
        <v>0</v>
      </c>
      <c r="N95" s="116">
        <f t="shared" si="24"/>
        <v>0</v>
      </c>
    </row>
    <row r="96" spans="1:16" ht="12.75" x14ac:dyDescent="0.2">
      <c r="A96" s="56" t="s">
        <v>225</v>
      </c>
      <c r="B96" s="116">
        <f>Lottery!B12</f>
        <v>0</v>
      </c>
      <c r="C96" s="116">
        <f>Lottery!C12</f>
        <v>0</v>
      </c>
      <c r="D96" s="116">
        <f>Lottery!D12</f>
        <v>0</v>
      </c>
      <c r="E96" s="116">
        <f>Lottery!E12</f>
        <v>0</v>
      </c>
      <c r="F96" s="116">
        <f>Lottery!F12</f>
        <v>0</v>
      </c>
      <c r="G96" s="116">
        <f>Lottery!G12</f>
        <v>0</v>
      </c>
      <c r="H96" s="116">
        <f>Lottery!H12</f>
        <v>0</v>
      </c>
      <c r="I96" s="116">
        <f>Lottery!I12</f>
        <v>0</v>
      </c>
      <c r="J96" s="116">
        <f>Lottery!J12</f>
        <v>0</v>
      </c>
      <c r="K96" s="116">
        <f>Lottery!K12</f>
        <v>0</v>
      </c>
      <c r="L96" s="116">
        <f>Lottery!L12</f>
        <v>0</v>
      </c>
      <c r="M96" s="116">
        <f>Lottery!M12</f>
        <v>0</v>
      </c>
      <c r="N96" s="116">
        <f t="shared" si="24"/>
        <v>0</v>
      </c>
    </row>
    <row r="97" spans="1:14" ht="12.75" x14ac:dyDescent="0.2">
      <c r="A97" s="56" t="s">
        <v>232</v>
      </c>
      <c r="B97" s="116">
        <f>Lottery!B13</f>
        <v>0</v>
      </c>
      <c r="C97" s="116">
        <f>Lottery!C13</f>
        <v>0</v>
      </c>
      <c r="D97" s="116">
        <f>Lottery!D13</f>
        <v>0</v>
      </c>
      <c r="E97" s="116">
        <f>Lottery!E13</f>
        <v>0</v>
      </c>
      <c r="F97" s="116">
        <f>Lottery!F13</f>
        <v>0</v>
      </c>
      <c r="G97" s="116">
        <f>Lottery!G13</f>
        <v>0</v>
      </c>
      <c r="H97" s="116">
        <f>Lottery!H13</f>
        <v>0</v>
      </c>
      <c r="I97" s="116">
        <f>Lottery!I13</f>
        <v>0</v>
      </c>
      <c r="J97" s="116">
        <f>Lottery!J13</f>
        <v>0</v>
      </c>
      <c r="K97" s="116">
        <f>Lottery!K13</f>
        <v>0</v>
      </c>
      <c r="L97" s="116">
        <f>Lottery!L13</f>
        <v>0</v>
      </c>
      <c r="M97" s="116">
        <f>Lottery!M13</f>
        <v>0</v>
      </c>
      <c r="N97" s="116">
        <f t="shared" si="24"/>
        <v>0</v>
      </c>
    </row>
    <row r="98" spans="1:14" ht="12.75" x14ac:dyDescent="0.2">
      <c r="A98" s="56" t="s">
        <v>218</v>
      </c>
      <c r="B98" s="116">
        <f>Lottery!B14</f>
        <v>0</v>
      </c>
      <c r="C98" s="116">
        <f>Lottery!C14</f>
        <v>0</v>
      </c>
      <c r="D98" s="116">
        <f>Lottery!D14</f>
        <v>0</v>
      </c>
      <c r="E98" s="116">
        <f>Lottery!E14</f>
        <v>0</v>
      </c>
      <c r="F98" s="116">
        <f>Lottery!F14</f>
        <v>0</v>
      </c>
      <c r="G98" s="116">
        <f>Lottery!G14</f>
        <v>0</v>
      </c>
      <c r="H98" s="116">
        <f>Lottery!H14</f>
        <v>0</v>
      </c>
      <c r="I98" s="116">
        <f>Lottery!I14</f>
        <v>0</v>
      </c>
      <c r="J98" s="116">
        <f>Lottery!J14</f>
        <v>0</v>
      </c>
      <c r="K98" s="116">
        <f>Lottery!K14</f>
        <v>0</v>
      </c>
      <c r="L98" s="116">
        <f>Lottery!L14</f>
        <v>0</v>
      </c>
      <c r="M98" s="116">
        <f>Lottery!M14</f>
        <v>0</v>
      </c>
      <c r="N98" s="116">
        <f t="shared" si="24"/>
        <v>0</v>
      </c>
    </row>
    <row r="99" spans="1:14" ht="12.75" x14ac:dyDescent="0.2">
      <c r="A99" s="56" t="s">
        <v>230</v>
      </c>
      <c r="B99" s="116">
        <f>Lottery!B15</f>
        <v>0</v>
      </c>
      <c r="C99" s="116">
        <f>Lottery!C15</f>
        <v>0</v>
      </c>
      <c r="D99" s="116">
        <f>Lottery!D15</f>
        <v>0</v>
      </c>
      <c r="E99" s="116">
        <f>Lottery!E15</f>
        <v>0</v>
      </c>
      <c r="F99" s="116">
        <f>Lottery!F15</f>
        <v>0</v>
      </c>
      <c r="G99" s="116">
        <f>Lottery!G15</f>
        <v>0</v>
      </c>
      <c r="H99" s="116">
        <f>Lottery!H15</f>
        <v>0</v>
      </c>
      <c r="I99" s="116">
        <f>Lottery!I15</f>
        <v>0</v>
      </c>
      <c r="J99" s="116">
        <f>Lottery!J15</f>
        <v>0</v>
      </c>
      <c r="K99" s="116">
        <f>Lottery!K15</f>
        <v>0</v>
      </c>
      <c r="L99" s="116">
        <f>Lottery!L15</f>
        <v>0</v>
      </c>
      <c r="M99" s="116">
        <f>Lottery!M15</f>
        <v>0</v>
      </c>
      <c r="N99" s="116">
        <f t="shared" si="24"/>
        <v>0</v>
      </c>
    </row>
    <row r="100" spans="1:14" ht="12.75" x14ac:dyDescent="0.2">
      <c r="A100" s="56" t="s">
        <v>215</v>
      </c>
      <c r="B100" s="116">
        <f>Lottery!B16</f>
        <v>0</v>
      </c>
      <c r="C100" s="116">
        <f>Lottery!C16</f>
        <v>0</v>
      </c>
      <c r="D100" s="116">
        <f>Lottery!D16</f>
        <v>0</v>
      </c>
      <c r="E100" s="116">
        <f>Lottery!E16</f>
        <v>0</v>
      </c>
      <c r="F100" s="116">
        <f>Lottery!F16</f>
        <v>0</v>
      </c>
      <c r="G100" s="116">
        <f>Lottery!G16</f>
        <v>0</v>
      </c>
      <c r="H100" s="116">
        <f>Lottery!H16</f>
        <v>0</v>
      </c>
      <c r="I100" s="116">
        <f>Lottery!I16</f>
        <v>0</v>
      </c>
      <c r="J100" s="116">
        <f>Lottery!J16</f>
        <v>0</v>
      </c>
      <c r="K100" s="116">
        <f>Lottery!K16</f>
        <v>0</v>
      </c>
      <c r="L100" s="116">
        <f>Lottery!L16</f>
        <v>0</v>
      </c>
      <c r="M100" s="116">
        <f>Lottery!M16</f>
        <v>0</v>
      </c>
      <c r="N100" s="116">
        <f t="shared" si="24"/>
        <v>0</v>
      </c>
    </row>
    <row r="101" spans="1:14" ht="12.75" x14ac:dyDescent="0.2">
      <c r="A101" s="56" t="s">
        <v>216</v>
      </c>
      <c r="B101" s="116">
        <f>Lottery!B17</f>
        <v>0</v>
      </c>
      <c r="C101" s="116">
        <f>Lottery!C17</f>
        <v>0</v>
      </c>
      <c r="D101" s="116">
        <f>Lottery!D17</f>
        <v>0</v>
      </c>
      <c r="E101" s="116">
        <f>Lottery!E17</f>
        <v>0</v>
      </c>
      <c r="F101" s="116">
        <f>Lottery!F17</f>
        <v>0</v>
      </c>
      <c r="G101" s="116">
        <f>Lottery!G17</f>
        <v>0</v>
      </c>
      <c r="H101" s="116">
        <f>Lottery!H17</f>
        <v>0</v>
      </c>
      <c r="I101" s="116">
        <f>Lottery!I17</f>
        <v>0</v>
      </c>
      <c r="J101" s="116">
        <f>Lottery!J17</f>
        <v>0</v>
      </c>
      <c r="K101" s="116">
        <f>Lottery!K17</f>
        <v>0</v>
      </c>
      <c r="L101" s="116">
        <f>Lottery!L17</f>
        <v>0</v>
      </c>
      <c r="M101" s="116">
        <f>Lottery!M17</f>
        <v>0</v>
      </c>
      <c r="N101" s="116">
        <f t="shared" si="24"/>
        <v>0</v>
      </c>
    </row>
    <row r="102" spans="1:14" ht="12.75" x14ac:dyDescent="0.2">
      <c r="A102" s="56" t="s">
        <v>219</v>
      </c>
      <c r="B102" s="116">
        <f>Lottery!B18</f>
        <v>0</v>
      </c>
      <c r="C102" s="116">
        <f>Lottery!C18</f>
        <v>0</v>
      </c>
      <c r="D102" s="116">
        <f>Lottery!D18</f>
        <v>259.12</v>
      </c>
      <c r="E102" s="116">
        <f>Lottery!E18</f>
        <v>857.85</v>
      </c>
      <c r="F102" s="116">
        <f>Lottery!F18</f>
        <v>0</v>
      </c>
      <c r="G102" s="116">
        <f>Lottery!G18</f>
        <v>354.22</v>
      </c>
      <c r="H102" s="116">
        <f>Lottery!H18</f>
        <v>385.95</v>
      </c>
      <c r="I102" s="116">
        <f>Lottery!I18</f>
        <v>1590.15</v>
      </c>
      <c r="J102" s="116">
        <f>Lottery!J18</f>
        <v>0</v>
      </c>
      <c r="K102" s="116">
        <f>Lottery!K18</f>
        <v>3143.65</v>
      </c>
      <c r="L102" s="116">
        <f>Lottery!L18</f>
        <v>18731.150000000001</v>
      </c>
      <c r="M102" s="116">
        <f>Lottery!M18</f>
        <v>0</v>
      </c>
      <c r="N102" s="116">
        <f t="shared" si="24"/>
        <v>25322.090000000004</v>
      </c>
    </row>
    <row r="103" spans="1:14" ht="12.75" x14ac:dyDescent="0.2">
      <c r="A103" s="56" t="s">
        <v>220</v>
      </c>
      <c r="B103" s="116">
        <f>Lottery!B19</f>
        <v>0</v>
      </c>
      <c r="C103" s="116">
        <f>Lottery!C19</f>
        <v>0</v>
      </c>
      <c r="D103" s="116">
        <f>Lottery!D19</f>
        <v>0</v>
      </c>
      <c r="E103" s="116">
        <f>Lottery!E19</f>
        <v>0</v>
      </c>
      <c r="F103" s="116">
        <f>Lottery!F19</f>
        <v>0</v>
      </c>
      <c r="G103" s="116">
        <f>Lottery!G19</f>
        <v>0</v>
      </c>
      <c r="H103" s="116">
        <f>Lottery!H19</f>
        <v>0</v>
      </c>
      <c r="I103" s="116">
        <f>Lottery!I19</f>
        <v>0</v>
      </c>
      <c r="J103" s="116">
        <f>Lottery!J19</f>
        <v>0</v>
      </c>
      <c r="K103" s="116">
        <f>Lottery!K19</f>
        <v>0</v>
      </c>
      <c r="L103" s="116">
        <f>Lottery!L19</f>
        <v>0</v>
      </c>
      <c r="M103" s="116">
        <f>Lottery!M19</f>
        <v>0</v>
      </c>
      <c r="N103" s="116">
        <f t="shared" si="24"/>
        <v>0</v>
      </c>
    </row>
    <row r="104" spans="1:14" ht="12.75" x14ac:dyDescent="0.2">
      <c r="A104" s="56" t="s">
        <v>221</v>
      </c>
      <c r="B104" s="116">
        <f>Lottery!B20</f>
        <v>0</v>
      </c>
      <c r="C104" s="116">
        <f>Lottery!C20</f>
        <v>0</v>
      </c>
      <c r="D104" s="116">
        <f>Lottery!D20</f>
        <v>740.16</v>
      </c>
      <c r="E104" s="116">
        <f>Lottery!E20</f>
        <v>3036.2</v>
      </c>
      <c r="F104" s="116">
        <f>Lottery!F20</f>
        <v>1514.72</v>
      </c>
      <c r="G104" s="116">
        <f>Lottery!G20</f>
        <v>640.41</v>
      </c>
      <c r="H104" s="116">
        <f>Lottery!H20</f>
        <v>1700.69</v>
      </c>
      <c r="I104" s="116">
        <f>Lottery!I20</f>
        <v>774.25</v>
      </c>
      <c r="J104" s="116">
        <f>Lottery!J20</f>
        <v>4110.29</v>
      </c>
      <c r="K104" s="116">
        <f>Lottery!K20</f>
        <v>122.71</v>
      </c>
      <c r="L104" s="116">
        <f>Lottery!L20</f>
        <v>0</v>
      </c>
      <c r="M104" s="116">
        <f>Lottery!M20</f>
        <v>0</v>
      </c>
      <c r="N104" s="116">
        <f t="shared" si="24"/>
        <v>12639.43</v>
      </c>
    </row>
    <row r="105" spans="1:14" ht="12.75" x14ac:dyDescent="0.2">
      <c r="A105" s="56" t="s">
        <v>222</v>
      </c>
      <c r="B105" s="116">
        <f>Lottery!B21</f>
        <v>0</v>
      </c>
      <c r="C105" s="116">
        <f>Lottery!C21</f>
        <v>0</v>
      </c>
      <c r="D105" s="116">
        <f>Lottery!D21</f>
        <v>0</v>
      </c>
      <c r="E105" s="116">
        <f>Lottery!E21</f>
        <v>0</v>
      </c>
      <c r="F105" s="116">
        <f>Lottery!F21</f>
        <v>0</v>
      </c>
      <c r="G105" s="116">
        <f>Lottery!G21</f>
        <v>17.18</v>
      </c>
      <c r="H105" s="116">
        <f>Lottery!H21</f>
        <v>0</v>
      </c>
      <c r="I105" s="116">
        <f>Lottery!I21</f>
        <v>1054.0899999999999</v>
      </c>
      <c r="J105" s="116">
        <f>Lottery!J21</f>
        <v>0</v>
      </c>
      <c r="K105" s="116">
        <f>Lottery!K21</f>
        <v>322.02</v>
      </c>
      <c r="L105" s="116">
        <f>Lottery!L21</f>
        <v>44.31</v>
      </c>
      <c r="M105" s="116">
        <f>Lottery!M21</f>
        <v>0</v>
      </c>
      <c r="N105" s="116">
        <f t="shared" si="24"/>
        <v>1437.6</v>
      </c>
    </row>
    <row r="106" spans="1:14" ht="12.75" x14ac:dyDescent="0.2">
      <c r="A106" s="56" t="s">
        <v>223</v>
      </c>
      <c r="B106" s="116">
        <f>Lottery!B22</f>
        <v>0</v>
      </c>
      <c r="C106" s="116">
        <f>Lottery!C22</f>
        <v>0</v>
      </c>
      <c r="D106" s="116">
        <f>Lottery!D22</f>
        <v>881.67</v>
      </c>
      <c r="E106" s="116">
        <f>Lottery!E22</f>
        <v>0</v>
      </c>
      <c r="F106" s="116">
        <f>Lottery!F22</f>
        <v>0</v>
      </c>
      <c r="G106" s="116">
        <f>Lottery!G22</f>
        <v>2817.94</v>
      </c>
      <c r="H106" s="116">
        <f>Lottery!H22</f>
        <v>0</v>
      </c>
      <c r="I106" s="116">
        <f>Lottery!I22</f>
        <v>0</v>
      </c>
      <c r="J106" s="116">
        <f>Lottery!J22</f>
        <v>0</v>
      </c>
      <c r="K106" s="116">
        <f>Lottery!K22</f>
        <v>0</v>
      </c>
      <c r="L106" s="116">
        <f>Lottery!L22</f>
        <v>0</v>
      </c>
      <c r="M106" s="116">
        <f>Lottery!M22</f>
        <v>0</v>
      </c>
      <c r="N106" s="116">
        <f t="shared" si="24"/>
        <v>3699.61</v>
      </c>
    </row>
    <row r="107" spans="1:14" ht="12.75" x14ac:dyDescent="0.2">
      <c r="A107" s="56" t="s">
        <v>224</v>
      </c>
      <c r="B107" s="116">
        <f>Lottery!B23</f>
        <v>0</v>
      </c>
      <c r="C107" s="116">
        <f>Lottery!C23</f>
        <v>0</v>
      </c>
      <c r="D107" s="116">
        <f>Lottery!D23</f>
        <v>0</v>
      </c>
      <c r="E107" s="116">
        <f>Lottery!E23</f>
        <v>0</v>
      </c>
      <c r="F107" s="116">
        <f>Lottery!F23</f>
        <v>0</v>
      </c>
      <c r="G107" s="116">
        <f>Lottery!G23</f>
        <v>0</v>
      </c>
      <c r="H107" s="116">
        <f>Lottery!H23</f>
        <v>0</v>
      </c>
      <c r="I107" s="116">
        <f>Lottery!I23</f>
        <v>0</v>
      </c>
      <c r="J107" s="116">
        <f>Lottery!J23</f>
        <v>0</v>
      </c>
      <c r="K107" s="116">
        <f>Lottery!K23</f>
        <v>0</v>
      </c>
      <c r="L107" s="116">
        <f>Lottery!L23</f>
        <v>0</v>
      </c>
      <c r="M107" s="116">
        <f>Lottery!M23</f>
        <v>0</v>
      </c>
      <c r="N107" s="116">
        <f t="shared" si="24"/>
        <v>0</v>
      </c>
    </row>
    <row r="108" spans="1:14" ht="12.75" x14ac:dyDescent="0.2">
      <c r="A108" s="56" t="s">
        <v>239</v>
      </c>
      <c r="B108" s="116">
        <f>Lottery!B24</f>
        <v>0</v>
      </c>
      <c r="C108" s="116">
        <f>Lottery!C24</f>
        <v>0</v>
      </c>
      <c r="D108" s="116">
        <f>Lottery!D24</f>
        <v>0</v>
      </c>
      <c r="E108" s="116">
        <f>Lottery!E24</f>
        <v>0</v>
      </c>
      <c r="F108" s="116">
        <f>Lottery!F24</f>
        <v>0</v>
      </c>
      <c r="G108" s="116">
        <f>Lottery!G24</f>
        <v>0</v>
      </c>
      <c r="H108" s="116">
        <f>Lottery!H24</f>
        <v>0</v>
      </c>
      <c r="I108" s="116">
        <f>Lottery!I24</f>
        <v>0</v>
      </c>
      <c r="J108" s="116">
        <f>Lottery!J24</f>
        <v>0</v>
      </c>
      <c r="K108" s="116">
        <f>Lottery!K24</f>
        <v>0</v>
      </c>
      <c r="L108" s="116">
        <f>Lottery!L24</f>
        <v>0</v>
      </c>
      <c r="M108" s="116">
        <f>Lottery!M24</f>
        <v>0</v>
      </c>
      <c r="N108" s="116">
        <f t="shared" si="24"/>
        <v>0</v>
      </c>
    </row>
    <row r="109" spans="1:14" ht="12.75" x14ac:dyDescent="0.2">
      <c r="A109" s="56" t="s">
        <v>226</v>
      </c>
      <c r="B109" s="116">
        <f>Lottery!B25</f>
        <v>0</v>
      </c>
      <c r="C109" s="116">
        <f>Lottery!C25</f>
        <v>0</v>
      </c>
      <c r="D109" s="116">
        <f>Lottery!D25</f>
        <v>0</v>
      </c>
      <c r="E109" s="116">
        <f>Lottery!E25</f>
        <v>0</v>
      </c>
      <c r="F109" s="116">
        <f>Lottery!F25</f>
        <v>0</v>
      </c>
      <c r="G109" s="116">
        <f>Lottery!G25</f>
        <v>0</v>
      </c>
      <c r="H109" s="116">
        <f>Lottery!H25</f>
        <v>0</v>
      </c>
      <c r="I109" s="116">
        <f>Lottery!I25</f>
        <v>0</v>
      </c>
      <c r="J109" s="116">
        <f>Lottery!J25</f>
        <v>0</v>
      </c>
      <c r="K109" s="116">
        <f>Lottery!K25</f>
        <v>0</v>
      </c>
      <c r="L109" s="116">
        <f>Lottery!L25</f>
        <v>0</v>
      </c>
      <c r="M109" s="116">
        <f>Lottery!M25</f>
        <v>0</v>
      </c>
      <c r="N109" s="116">
        <f t="shared" si="24"/>
        <v>0</v>
      </c>
    </row>
    <row r="110" spans="1:14" ht="12.75" x14ac:dyDescent="0.2">
      <c r="A110" s="56" t="s">
        <v>227</v>
      </c>
      <c r="B110" s="116">
        <f>Lottery!B26</f>
        <v>0</v>
      </c>
      <c r="C110" s="116">
        <f>Lottery!C26</f>
        <v>0</v>
      </c>
      <c r="D110" s="116">
        <f>Lottery!D26</f>
        <v>0</v>
      </c>
      <c r="E110" s="116">
        <f>Lottery!E26</f>
        <v>0</v>
      </c>
      <c r="F110" s="116">
        <f>Lottery!F26</f>
        <v>0</v>
      </c>
      <c r="G110" s="116">
        <f>Lottery!G26</f>
        <v>662.47</v>
      </c>
      <c r="H110" s="116">
        <f>Lottery!H26</f>
        <v>1119.73</v>
      </c>
      <c r="I110" s="116">
        <f>Lottery!I26</f>
        <v>127.95</v>
      </c>
      <c r="J110" s="116">
        <v>6344</v>
      </c>
      <c r="K110" s="116">
        <v>6344</v>
      </c>
      <c r="L110" s="116">
        <v>6344</v>
      </c>
      <c r="M110" s="116">
        <v>6343.43</v>
      </c>
      <c r="N110" s="116">
        <f t="shared" si="24"/>
        <v>27285.58</v>
      </c>
    </row>
    <row r="111" spans="1:14" ht="12.75" x14ac:dyDescent="0.2">
      <c r="A111" s="56" t="s">
        <v>228</v>
      </c>
      <c r="B111" s="116">
        <f>Lottery!B27</f>
        <v>0</v>
      </c>
      <c r="C111" s="116">
        <f>Lottery!C27</f>
        <v>0</v>
      </c>
      <c r="D111" s="116">
        <f>Lottery!D27</f>
        <v>0</v>
      </c>
      <c r="E111" s="116">
        <f>Lottery!E27</f>
        <v>0</v>
      </c>
      <c r="F111" s="116">
        <f>Lottery!F27</f>
        <v>0</v>
      </c>
      <c r="G111" s="116">
        <f>Lottery!G27</f>
        <v>0</v>
      </c>
      <c r="H111" s="116">
        <f>Lottery!H27</f>
        <v>0</v>
      </c>
      <c r="I111" s="116">
        <f>Lottery!I27</f>
        <v>0</v>
      </c>
      <c r="J111" s="116">
        <f>Lottery!J27</f>
        <v>0</v>
      </c>
      <c r="K111" s="116">
        <f>Lottery!K27</f>
        <v>0</v>
      </c>
      <c r="L111" s="116">
        <f>Lottery!L27</f>
        <v>0</v>
      </c>
      <c r="M111" s="116">
        <f>Lottery!M27</f>
        <v>0</v>
      </c>
      <c r="N111" s="116">
        <f t="shared" si="24"/>
        <v>0</v>
      </c>
    </row>
    <row r="112" spans="1:14" ht="12.75" x14ac:dyDescent="0.2">
      <c r="A112" s="56" t="s">
        <v>229</v>
      </c>
      <c r="B112" s="116">
        <f>Lottery!B28</f>
        <v>0</v>
      </c>
      <c r="C112" s="116">
        <f>Lottery!C28</f>
        <v>0</v>
      </c>
      <c r="D112" s="116">
        <f>Lottery!D28</f>
        <v>0</v>
      </c>
      <c r="E112" s="116">
        <f>Lottery!E28</f>
        <v>0</v>
      </c>
      <c r="F112" s="116">
        <f>Lottery!F28</f>
        <v>0</v>
      </c>
      <c r="G112" s="116">
        <f>Lottery!G28</f>
        <v>0</v>
      </c>
      <c r="H112" s="116">
        <f>Lottery!H28</f>
        <v>0</v>
      </c>
      <c r="I112" s="116">
        <f>Lottery!I28</f>
        <v>0</v>
      </c>
      <c r="J112" s="116">
        <f>Lottery!J28</f>
        <v>0</v>
      </c>
      <c r="K112" s="116">
        <f>Lottery!K28</f>
        <v>0</v>
      </c>
      <c r="L112" s="116">
        <f>Lottery!L28</f>
        <v>0</v>
      </c>
      <c r="M112" s="116">
        <f>Lottery!M28</f>
        <v>0</v>
      </c>
      <c r="N112" s="116">
        <f t="shared" si="24"/>
        <v>0</v>
      </c>
    </row>
    <row r="113" spans="1:15" ht="12.75" x14ac:dyDescent="0.2">
      <c r="A113" s="56" t="s">
        <v>231</v>
      </c>
      <c r="B113" s="116">
        <f>Lottery!B29</f>
        <v>0</v>
      </c>
      <c r="C113" s="116">
        <f>Lottery!C29</f>
        <v>0</v>
      </c>
      <c r="D113" s="116">
        <f>Lottery!D29</f>
        <v>86.95</v>
      </c>
      <c r="E113" s="116">
        <f>Lottery!E29</f>
        <v>427.64</v>
      </c>
      <c r="F113" s="116">
        <f>Lottery!F29</f>
        <v>1488.3</v>
      </c>
      <c r="G113" s="116">
        <f>Lottery!G29</f>
        <v>321.36</v>
      </c>
      <c r="H113" s="116">
        <f>Lottery!H29</f>
        <v>995.2</v>
      </c>
      <c r="I113" s="116">
        <f>Lottery!I29</f>
        <v>21.45</v>
      </c>
      <c r="J113" s="116">
        <f>Lottery!J29</f>
        <v>2780.28</v>
      </c>
      <c r="K113" s="116">
        <f>Lottery!K29</f>
        <v>0</v>
      </c>
      <c r="L113" s="116">
        <f>Lottery!L29</f>
        <v>0</v>
      </c>
      <c r="M113" s="116">
        <f>Lottery!M29</f>
        <v>0</v>
      </c>
      <c r="N113" s="116">
        <f t="shared" si="24"/>
        <v>6121.18</v>
      </c>
    </row>
    <row r="114" spans="1:15" ht="12.75" x14ac:dyDescent="0.2">
      <c r="A114" s="56" t="s">
        <v>217</v>
      </c>
      <c r="B114" s="116">
        <f>Lottery!B30</f>
        <v>0</v>
      </c>
      <c r="C114" s="116">
        <f>Lottery!C30</f>
        <v>0</v>
      </c>
      <c r="D114" s="116">
        <f>Lottery!D30</f>
        <v>0</v>
      </c>
      <c r="E114" s="116">
        <f>Lottery!E30</f>
        <v>0</v>
      </c>
      <c r="F114" s="116">
        <f>Lottery!F30</f>
        <v>0</v>
      </c>
      <c r="G114" s="116">
        <v>0</v>
      </c>
      <c r="H114" s="116">
        <v>0</v>
      </c>
      <c r="I114" s="116">
        <v>0</v>
      </c>
      <c r="J114" s="116">
        <v>0</v>
      </c>
      <c r="K114" s="116">
        <v>0</v>
      </c>
      <c r="L114" s="116">
        <v>0</v>
      </c>
      <c r="M114" s="116">
        <v>0</v>
      </c>
      <c r="N114" s="116">
        <f t="shared" si="24"/>
        <v>0</v>
      </c>
    </row>
    <row r="115" spans="1:15" ht="12.75" x14ac:dyDescent="0.2">
      <c r="A115" s="65" t="s">
        <v>139</v>
      </c>
      <c r="B115" s="116">
        <f>SUM(B90:B114)</f>
        <v>0</v>
      </c>
      <c r="C115" s="116">
        <f t="shared" ref="C115:M115" si="25">SUM(C90:C114)</f>
        <v>0</v>
      </c>
      <c r="D115" s="116">
        <f t="shared" si="25"/>
        <v>1967.8999999999999</v>
      </c>
      <c r="E115" s="116">
        <f t="shared" si="25"/>
        <v>4321.6899999999996</v>
      </c>
      <c r="F115" s="116">
        <f t="shared" si="25"/>
        <v>3003.02</v>
      </c>
      <c r="G115" s="116">
        <f t="shared" si="25"/>
        <v>4813.58</v>
      </c>
      <c r="H115" s="116">
        <f t="shared" si="25"/>
        <v>4201.57</v>
      </c>
      <c r="I115" s="116">
        <f t="shared" si="25"/>
        <v>3567.8899999999994</v>
      </c>
      <c r="J115" s="116">
        <f t="shared" si="25"/>
        <v>13234.570000000002</v>
      </c>
      <c r="K115" s="116">
        <f t="shared" si="25"/>
        <v>9932.380000000001</v>
      </c>
      <c r="L115" s="116">
        <f t="shared" si="25"/>
        <v>25119.460000000003</v>
      </c>
      <c r="M115" s="116">
        <f t="shared" si="25"/>
        <v>6343.43</v>
      </c>
      <c r="N115" s="116">
        <f>SUM(N90:N114)</f>
        <v>76505.489999999991</v>
      </c>
      <c r="O115" s="96"/>
    </row>
    <row r="116" spans="1:15" ht="12.75" x14ac:dyDescent="0.2">
      <c r="A116" s="66" t="s">
        <v>140</v>
      </c>
      <c r="B116" s="116">
        <f>B88+B115</f>
        <v>399803.38999999996</v>
      </c>
      <c r="C116" s="116">
        <f t="shared" ref="C116:N116" si="26">C88+C115</f>
        <v>392970.45999999996</v>
      </c>
      <c r="D116" s="116">
        <f t="shared" si="26"/>
        <v>434361.20999999996</v>
      </c>
      <c r="E116" s="116">
        <f t="shared" si="26"/>
        <v>429141.07</v>
      </c>
      <c r="F116" s="116">
        <f t="shared" si="26"/>
        <v>439457.38999999996</v>
      </c>
      <c r="G116" s="116">
        <f t="shared" si="26"/>
        <v>436320.04</v>
      </c>
      <c r="H116" s="116">
        <f t="shared" si="26"/>
        <v>423609.15000000008</v>
      </c>
      <c r="I116" s="116">
        <f t="shared" si="26"/>
        <v>429181</v>
      </c>
      <c r="J116" s="116">
        <f t="shared" si="26"/>
        <v>441694.99</v>
      </c>
      <c r="K116" s="116">
        <f t="shared" si="26"/>
        <v>430628.46</v>
      </c>
      <c r="L116" s="116">
        <f t="shared" si="26"/>
        <v>485769.76</v>
      </c>
      <c r="M116" s="116">
        <f t="shared" si="26"/>
        <v>436623.06999999995</v>
      </c>
      <c r="N116" s="116">
        <f t="shared" si="26"/>
        <v>5179559.9899999984</v>
      </c>
    </row>
  </sheetData>
  <phoneticPr fontId="19" type="noConversion"/>
  <printOptions horizontalCentered="1" gridLines="1"/>
  <pageMargins left="0" right="0" top="0.75" bottom="0" header="0.3" footer="0.3"/>
  <pageSetup scale="75" orientation="landscape" r:id="rId1"/>
  <headerFooter>
    <oddHeader>&amp;LElectrical Engineering Department&amp;C Budget and Expenditure Projection 2016-17
&amp;R&amp;A</oddHeader>
    <oddFooter>&amp;R&amp;8&amp;D</oddFooter>
  </headerFooter>
  <rowBreaks count="1" manualBreakCount="1">
    <brk id="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00000"/>
  </sheetPr>
  <dimension ref="A1:W90"/>
  <sheetViews>
    <sheetView tabSelected="1" zoomScale="110" zoomScaleNormal="110" workbookViewId="0">
      <pane xSplit="2" ySplit="2" topLeftCell="C3" activePane="bottomRight" state="frozen"/>
      <selection activeCell="G34" sqref="G34"/>
      <selection pane="topRight" activeCell="G34" sqref="G34"/>
      <selection pane="bottomLeft" activeCell="G34" sqref="G34"/>
      <selection pane="bottomRight" activeCell="G34" sqref="G34"/>
    </sheetView>
  </sheetViews>
  <sheetFormatPr defaultColWidth="9.140625" defaultRowHeight="12.75" x14ac:dyDescent="0.2"/>
  <cols>
    <col min="1" max="1" width="9.5703125" style="3" hidden="1" customWidth="1"/>
    <col min="2" max="2" width="6.7109375" style="3" customWidth="1"/>
    <col min="3" max="4" width="10" style="21" bestFit="1" customWidth="1"/>
    <col min="5" max="5" width="9.140625" style="21" bestFit="1" customWidth="1"/>
    <col min="6" max="7" width="10" style="21" bestFit="1" customWidth="1"/>
    <col min="8" max="8" width="9.140625" style="21" bestFit="1" customWidth="1"/>
    <col min="9" max="10" width="10" style="21" bestFit="1" customWidth="1"/>
    <col min="11" max="11" width="9.140625" style="21" bestFit="1" customWidth="1"/>
    <col min="12" max="13" width="10" style="21" bestFit="1" customWidth="1"/>
    <col min="14" max="14" width="9.140625" style="21" bestFit="1" customWidth="1"/>
    <col min="15" max="16" width="10" style="21" bestFit="1" customWidth="1"/>
    <col min="17" max="17" width="9.140625" style="21" bestFit="1" customWidth="1"/>
    <col min="18" max="19" width="10" style="21" bestFit="1" customWidth="1"/>
    <col min="20" max="20" width="9.42578125" style="21" bestFit="1" customWidth="1"/>
    <col min="21" max="21" width="12.5703125" bestFit="1" customWidth="1"/>
    <col min="22" max="22" width="9" customWidth="1"/>
    <col min="23" max="16384" width="9.140625" style="2"/>
  </cols>
  <sheetData>
    <row r="1" spans="1:22" s="6" customFormat="1" ht="15" x14ac:dyDescent="0.2">
      <c r="A1" s="5"/>
      <c r="B1" s="61"/>
      <c r="C1" s="365">
        <v>40369</v>
      </c>
      <c r="D1" s="366"/>
      <c r="E1" s="366"/>
      <c r="F1" s="365">
        <v>40400</v>
      </c>
      <c r="G1" s="366"/>
      <c r="H1" s="366"/>
      <c r="I1" s="365">
        <v>40431</v>
      </c>
      <c r="J1" s="366"/>
      <c r="K1" s="366"/>
      <c r="L1" s="367">
        <v>40461</v>
      </c>
      <c r="M1" s="367"/>
      <c r="N1" s="367"/>
      <c r="O1" s="365">
        <v>40492</v>
      </c>
      <c r="P1" s="366"/>
      <c r="Q1" s="366"/>
      <c r="R1" s="365">
        <v>40522</v>
      </c>
      <c r="S1" s="366"/>
      <c r="T1" s="366"/>
      <c r="U1"/>
      <c r="V1"/>
    </row>
    <row r="2" spans="1:22" x14ac:dyDescent="0.2">
      <c r="A2" s="10" t="s">
        <v>39</v>
      </c>
      <c r="B2" s="10"/>
      <c r="C2" s="17" t="s">
        <v>33</v>
      </c>
      <c r="D2" s="17" t="s">
        <v>31</v>
      </c>
      <c r="E2" s="17" t="s">
        <v>32</v>
      </c>
      <c r="F2" s="17" t="s">
        <v>34</v>
      </c>
      <c r="G2" s="17" t="s">
        <v>31</v>
      </c>
      <c r="H2" s="17" t="s">
        <v>32</v>
      </c>
      <c r="I2" s="19" t="s">
        <v>34</v>
      </c>
      <c r="J2" s="19" t="s">
        <v>31</v>
      </c>
      <c r="K2" s="19" t="s">
        <v>32</v>
      </c>
      <c r="L2" s="53" t="s">
        <v>34</v>
      </c>
      <c r="M2" s="53" t="s">
        <v>31</v>
      </c>
      <c r="N2" s="53" t="s">
        <v>32</v>
      </c>
      <c r="O2" s="17" t="s">
        <v>34</v>
      </c>
      <c r="P2" s="17" t="s">
        <v>31</v>
      </c>
      <c r="Q2" s="17" t="s">
        <v>32</v>
      </c>
      <c r="R2" s="17" t="s">
        <v>34</v>
      </c>
      <c r="S2" s="17" t="s">
        <v>31</v>
      </c>
      <c r="T2" s="17" t="s">
        <v>32</v>
      </c>
    </row>
    <row r="3" spans="1:22" x14ac:dyDescent="0.2">
      <c r="A3" s="210" t="s">
        <v>49</v>
      </c>
      <c r="B3" s="11" t="s">
        <v>76</v>
      </c>
      <c r="C3" s="17">
        <v>14231.8</v>
      </c>
      <c r="D3" s="17">
        <v>9173</v>
      </c>
      <c r="E3" s="17">
        <f>C3-D3</f>
        <v>5058.7999999999993</v>
      </c>
      <c r="F3" s="17">
        <f t="shared" ref="F3:G4" si="0">C3</f>
        <v>14231.8</v>
      </c>
      <c r="G3" s="17">
        <f t="shared" si="0"/>
        <v>9173</v>
      </c>
      <c r="H3" s="17">
        <f>F3-G3</f>
        <v>5058.7999999999993</v>
      </c>
      <c r="I3" s="156">
        <f t="shared" ref="I3:I9" si="1">F3</f>
        <v>14231.8</v>
      </c>
      <c r="J3" s="156">
        <f t="shared" ref="J3:J9" si="2">G3</f>
        <v>9173</v>
      </c>
      <c r="K3" s="156">
        <f t="shared" ref="K3:K12" si="3">I3-J3</f>
        <v>5058.7999999999993</v>
      </c>
      <c r="L3" s="311">
        <f t="shared" ref="L3:L9" si="4">I3</f>
        <v>14231.8</v>
      </c>
      <c r="M3" s="311">
        <f t="shared" ref="M3:M9" si="5">J3</f>
        <v>9173</v>
      </c>
      <c r="N3" s="311">
        <f t="shared" ref="N3:N25" si="6">L3-M3</f>
        <v>5058.7999999999993</v>
      </c>
      <c r="O3" s="311">
        <f t="shared" ref="O3:O10" si="7">L3</f>
        <v>14231.8</v>
      </c>
      <c r="P3" s="311">
        <f t="shared" ref="P3:P11" si="8">M3</f>
        <v>9173</v>
      </c>
      <c r="Q3" s="311">
        <f t="shared" ref="Q3:Q25" si="9">O3-P3</f>
        <v>5058.7999999999993</v>
      </c>
      <c r="R3" s="311">
        <v>14138.63</v>
      </c>
      <c r="S3" s="311">
        <f t="shared" ref="S3:S11" si="10">P3</f>
        <v>9173</v>
      </c>
      <c r="T3" s="311">
        <f t="shared" ref="T3:T25" si="11">R3-S3</f>
        <v>4965.6299999999992</v>
      </c>
    </row>
    <row r="4" spans="1:22" x14ac:dyDescent="0.2">
      <c r="A4" s="210" t="s">
        <v>50</v>
      </c>
      <c r="B4" s="11" t="s">
        <v>77</v>
      </c>
      <c r="C4" s="17">
        <v>11422.11</v>
      </c>
      <c r="D4" s="17">
        <v>7925</v>
      </c>
      <c r="E4" s="17">
        <f>C4-D4</f>
        <v>3497.1100000000006</v>
      </c>
      <c r="F4" s="17">
        <f t="shared" si="0"/>
        <v>11422.11</v>
      </c>
      <c r="G4" s="17">
        <f t="shared" si="0"/>
        <v>7925</v>
      </c>
      <c r="H4" s="17">
        <f t="shared" ref="H4:H25" si="12">F4-G4</f>
        <v>3497.1100000000006</v>
      </c>
      <c r="I4" s="156">
        <f t="shared" si="1"/>
        <v>11422.11</v>
      </c>
      <c r="J4" s="156">
        <f t="shared" si="2"/>
        <v>7925</v>
      </c>
      <c r="K4" s="245">
        <f t="shared" si="3"/>
        <v>3497.1100000000006</v>
      </c>
      <c r="L4" s="311">
        <f t="shared" si="4"/>
        <v>11422.11</v>
      </c>
      <c r="M4" s="311">
        <f t="shared" si="5"/>
        <v>7925</v>
      </c>
      <c r="N4" s="311">
        <f t="shared" si="6"/>
        <v>3497.1100000000006</v>
      </c>
      <c r="O4" s="311">
        <f t="shared" si="7"/>
        <v>11422.11</v>
      </c>
      <c r="P4" s="311">
        <f t="shared" si="8"/>
        <v>7925</v>
      </c>
      <c r="Q4" s="311">
        <f t="shared" si="9"/>
        <v>3497.1100000000006</v>
      </c>
      <c r="R4" s="311">
        <v>11425.2</v>
      </c>
      <c r="S4" s="311">
        <f t="shared" si="10"/>
        <v>7925</v>
      </c>
      <c r="T4" s="311">
        <f t="shared" si="11"/>
        <v>3500.2000000000007</v>
      </c>
    </row>
    <row r="5" spans="1:22" x14ac:dyDescent="0.2">
      <c r="A5" s="210" t="s">
        <v>51</v>
      </c>
      <c r="B5" s="11" t="s">
        <v>77</v>
      </c>
      <c r="C5" s="17">
        <v>12228.85</v>
      </c>
      <c r="D5" s="17">
        <v>7676</v>
      </c>
      <c r="E5" s="17">
        <f>C5-D5</f>
        <v>4552.8500000000004</v>
      </c>
      <c r="F5" s="17">
        <f t="shared" ref="F5:G8" si="13">C5</f>
        <v>12228.85</v>
      </c>
      <c r="G5" s="17">
        <f t="shared" si="13"/>
        <v>7676</v>
      </c>
      <c r="H5" s="17">
        <f t="shared" si="12"/>
        <v>4552.8500000000004</v>
      </c>
      <c r="I5" s="311">
        <f t="shared" si="1"/>
        <v>12228.85</v>
      </c>
      <c r="J5" s="311">
        <f t="shared" si="2"/>
        <v>7676</v>
      </c>
      <c r="K5" s="311">
        <f t="shared" si="3"/>
        <v>4552.8500000000004</v>
      </c>
      <c r="L5" s="311">
        <f t="shared" si="4"/>
        <v>12228.85</v>
      </c>
      <c r="M5" s="311">
        <f t="shared" si="5"/>
        <v>7676</v>
      </c>
      <c r="N5" s="311">
        <f t="shared" si="6"/>
        <v>4552.8500000000004</v>
      </c>
      <c r="O5" s="311">
        <f t="shared" si="7"/>
        <v>12228.85</v>
      </c>
      <c r="P5" s="311">
        <f t="shared" si="8"/>
        <v>7676</v>
      </c>
      <c r="Q5" s="311">
        <f t="shared" si="9"/>
        <v>4552.8500000000004</v>
      </c>
      <c r="R5" s="311">
        <v>12234.35</v>
      </c>
      <c r="S5" s="311">
        <f t="shared" si="10"/>
        <v>7676</v>
      </c>
      <c r="T5" s="311">
        <f t="shared" si="11"/>
        <v>4558.3500000000004</v>
      </c>
    </row>
    <row r="6" spans="1:22" x14ac:dyDescent="0.2">
      <c r="A6" s="210" t="s">
        <v>137</v>
      </c>
      <c r="B6" s="11" t="s">
        <v>77</v>
      </c>
      <c r="C6" s="17">
        <v>5382.83</v>
      </c>
      <c r="D6" s="17">
        <v>3481</v>
      </c>
      <c r="E6" s="17">
        <f>C6-D6</f>
        <v>1901.83</v>
      </c>
      <c r="F6" s="17">
        <f t="shared" si="13"/>
        <v>5382.83</v>
      </c>
      <c r="G6" s="17">
        <f t="shared" si="13"/>
        <v>3481</v>
      </c>
      <c r="H6" s="17">
        <f t="shared" si="12"/>
        <v>1901.83</v>
      </c>
      <c r="I6" s="311">
        <f>229.5+5382.83</f>
        <v>5612.33</v>
      </c>
      <c r="J6" s="311">
        <f t="shared" si="2"/>
        <v>3481</v>
      </c>
      <c r="K6" s="311">
        <f t="shared" si="3"/>
        <v>2131.33</v>
      </c>
      <c r="L6" s="311">
        <v>5382.83</v>
      </c>
      <c r="M6" s="311">
        <v>3481</v>
      </c>
      <c r="N6" s="311">
        <f t="shared" si="6"/>
        <v>1901.83</v>
      </c>
      <c r="O6" s="311">
        <f>5464.81+(81.98*4)</f>
        <v>5792.7300000000005</v>
      </c>
      <c r="P6" s="311">
        <f>3542+(61*4)</f>
        <v>3786</v>
      </c>
      <c r="Q6" s="311">
        <f t="shared" si="9"/>
        <v>2006.7300000000005</v>
      </c>
      <c r="R6" s="311">
        <v>5491.01</v>
      </c>
      <c r="S6" s="311">
        <v>3542</v>
      </c>
      <c r="T6" s="311">
        <f t="shared" si="11"/>
        <v>1949.0100000000002</v>
      </c>
    </row>
    <row r="7" spans="1:22" x14ac:dyDescent="0.2">
      <c r="A7" s="210" t="s">
        <v>52</v>
      </c>
      <c r="B7" s="11" t="s">
        <v>76</v>
      </c>
      <c r="C7" s="17">
        <v>13986.51</v>
      </c>
      <c r="D7" s="17">
        <v>8984</v>
      </c>
      <c r="E7" s="17">
        <f t="shared" ref="E7:E25" si="14">C7-D7</f>
        <v>5002.51</v>
      </c>
      <c r="F7" s="17">
        <f t="shared" si="13"/>
        <v>13986.51</v>
      </c>
      <c r="G7" s="17">
        <f t="shared" si="13"/>
        <v>8984</v>
      </c>
      <c r="H7" s="17">
        <f t="shared" si="12"/>
        <v>5002.51</v>
      </c>
      <c r="I7" s="156">
        <f t="shared" si="1"/>
        <v>13986.51</v>
      </c>
      <c r="J7" s="156">
        <f t="shared" si="2"/>
        <v>8984</v>
      </c>
      <c r="K7" s="245">
        <f t="shared" si="3"/>
        <v>5002.51</v>
      </c>
      <c r="L7" s="311">
        <f t="shared" si="4"/>
        <v>13986.51</v>
      </c>
      <c r="M7" s="311">
        <f t="shared" si="5"/>
        <v>8984</v>
      </c>
      <c r="N7" s="311">
        <f t="shared" si="6"/>
        <v>5002.51</v>
      </c>
      <c r="O7" s="311">
        <f t="shared" si="7"/>
        <v>13986.51</v>
      </c>
      <c r="P7" s="311">
        <f t="shared" si="8"/>
        <v>8984</v>
      </c>
      <c r="Q7" s="311">
        <f t="shared" si="9"/>
        <v>5002.51</v>
      </c>
      <c r="R7" s="311">
        <v>13992.01</v>
      </c>
      <c r="S7" s="311">
        <f t="shared" si="10"/>
        <v>8984</v>
      </c>
      <c r="T7" s="311">
        <f t="shared" si="11"/>
        <v>5008.01</v>
      </c>
    </row>
    <row r="8" spans="1:22" x14ac:dyDescent="0.2">
      <c r="A8" s="210" t="s">
        <v>266</v>
      </c>
      <c r="B8" s="11" t="s">
        <v>78</v>
      </c>
      <c r="C8" s="157">
        <v>10520.59</v>
      </c>
      <c r="D8" s="157">
        <v>7255</v>
      </c>
      <c r="E8" s="157">
        <f>C8-D8</f>
        <v>3265.59</v>
      </c>
      <c r="F8" s="157">
        <f t="shared" si="13"/>
        <v>10520.59</v>
      </c>
      <c r="G8" s="157">
        <f t="shared" si="13"/>
        <v>7255</v>
      </c>
      <c r="H8" s="157">
        <f>F8-G8</f>
        <v>3265.59</v>
      </c>
      <c r="I8" s="311">
        <f>38.25+10520.59</f>
        <v>10558.84</v>
      </c>
      <c r="J8" s="311">
        <f t="shared" si="2"/>
        <v>7255</v>
      </c>
      <c r="K8" s="311">
        <f t="shared" si="3"/>
        <v>3303.84</v>
      </c>
      <c r="L8" s="311">
        <v>10520.59</v>
      </c>
      <c r="M8" s="311">
        <f t="shared" si="5"/>
        <v>7255</v>
      </c>
      <c r="N8" s="311">
        <f t="shared" si="6"/>
        <v>3265.59</v>
      </c>
      <c r="O8" s="311">
        <f>L8+403.92</f>
        <v>10924.51</v>
      </c>
      <c r="P8" s="311">
        <f t="shared" si="8"/>
        <v>7255</v>
      </c>
      <c r="Q8" s="311">
        <f t="shared" si="9"/>
        <v>3669.51</v>
      </c>
      <c r="R8" s="311">
        <v>10523.68</v>
      </c>
      <c r="S8" s="311">
        <f t="shared" si="10"/>
        <v>7255</v>
      </c>
      <c r="T8" s="311">
        <f t="shared" si="11"/>
        <v>3268.6800000000003</v>
      </c>
    </row>
    <row r="9" spans="1:22" x14ac:dyDescent="0.2">
      <c r="A9" s="210" t="s">
        <v>53</v>
      </c>
      <c r="B9" s="11" t="s">
        <v>78</v>
      </c>
      <c r="C9" s="17">
        <v>0</v>
      </c>
      <c r="D9" s="17">
        <v>0</v>
      </c>
      <c r="E9" s="17">
        <f t="shared" si="14"/>
        <v>0</v>
      </c>
      <c r="F9" s="17">
        <f>C9</f>
        <v>0</v>
      </c>
      <c r="G9" s="17">
        <f t="shared" ref="G9:G20" si="15">D9</f>
        <v>0</v>
      </c>
      <c r="H9" s="17">
        <f t="shared" si="12"/>
        <v>0</v>
      </c>
      <c r="I9" s="156">
        <f t="shared" si="1"/>
        <v>0</v>
      </c>
      <c r="J9" s="156">
        <f t="shared" si="2"/>
        <v>0</v>
      </c>
      <c r="K9" s="245">
        <f t="shared" si="3"/>
        <v>0</v>
      </c>
      <c r="L9" s="311">
        <f t="shared" si="4"/>
        <v>0</v>
      </c>
      <c r="M9" s="311">
        <f t="shared" si="5"/>
        <v>0</v>
      </c>
      <c r="N9" s="311">
        <f t="shared" si="6"/>
        <v>0</v>
      </c>
      <c r="O9" s="311">
        <f t="shared" si="7"/>
        <v>0</v>
      </c>
      <c r="P9" s="311">
        <f t="shared" si="8"/>
        <v>0</v>
      </c>
      <c r="Q9" s="311">
        <f t="shared" si="9"/>
        <v>0</v>
      </c>
      <c r="R9" s="311">
        <f t="shared" ref="R9" si="16">O9</f>
        <v>0</v>
      </c>
      <c r="S9" s="311">
        <f t="shared" si="10"/>
        <v>0</v>
      </c>
      <c r="T9" s="311">
        <f t="shared" si="11"/>
        <v>0</v>
      </c>
    </row>
    <row r="10" spans="1:22" x14ac:dyDescent="0.2">
      <c r="A10" s="210" t="s">
        <v>54</v>
      </c>
      <c r="B10" s="11" t="s">
        <v>78</v>
      </c>
      <c r="C10" s="17">
        <v>9640.27</v>
      </c>
      <c r="D10" s="17">
        <v>5757</v>
      </c>
      <c r="E10" s="17">
        <f t="shared" si="14"/>
        <v>3883.2700000000004</v>
      </c>
      <c r="F10" s="17">
        <v>12218.97</v>
      </c>
      <c r="G10" s="17">
        <v>7676</v>
      </c>
      <c r="H10" s="17">
        <f t="shared" si="12"/>
        <v>4542.9699999999993</v>
      </c>
      <c r="I10" s="156">
        <v>12218.97</v>
      </c>
      <c r="J10" s="156">
        <v>7676</v>
      </c>
      <c r="K10" s="245">
        <f t="shared" si="3"/>
        <v>4542.9699999999993</v>
      </c>
      <c r="L10" s="311">
        <f>I10</f>
        <v>12218.97</v>
      </c>
      <c r="M10" s="311">
        <f>J10</f>
        <v>7676</v>
      </c>
      <c r="N10" s="311">
        <f t="shared" si="6"/>
        <v>4542.9699999999993</v>
      </c>
      <c r="O10" s="311">
        <f t="shared" si="7"/>
        <v>12218.97</v>
      </c>
      <c r="P10" s="311">
        <f t="shared" si="8"/>
        <v>7676</v>
      </c>
      <c r="Q10" s="311">
        <f t="shared" si="9"/>
        <v>4542.9699999999993</v>
      </c>
      <c r="R10" s="311">
        <v>12217.26</v>
      </c>
      <c r="S10" s="311">
        <f t="shared" si="10"/>
        <v>7676</v>
      </c>
      <c r="T10" s="311">
        <f t="shared" si="11"/>
        <v>4541.26</v>
      </c>
    </row>
    <row r="11" spans="1:22" x14ac:dyDescent="0.2">
      <c r="A11" s="210" t="s">
        <v>340</v>
      </c>
      <c r="B11" s="11" t="s">
        <v>78</v>
      </c>
      <c r="C11" s="314">
        <v>0</v>
      </c>
      <c r="D11" s="314">
        <v>0</v>
      </c>
      <c r="E11" s="314">
        <f t="shared" si="14"/>
        <v>0</v>
      </c>
      <c r="F11" s="314">
        <v>0</v>
      </c>
      <c r="G11" s="314">
        <v>0</v>
      </c>
      <c r="H11" s="314">
        <f t="shared" si="12"/>
        <v>0</v>
      </c>
      <c r="I11" s="314">
        <v>5093.62</v>
      </c>
      <c r="J11" s="314">
        <v>3762.5</v>
      </c>
      <c r="K11" s="314">
        <f t="shared" si="3"/>
        <v>1331.12</v>
      </c>
      <c r="L11" s="314">
        <f>861.26+5954.44</f>
        <v>6815.7</v>
      </c>
      <c r="M11" s="314">
        <f>J11</f>
        <v>3762.5</v>
      </c>
      <c r="N11" s="314">
        <f>L11-M11</f>
        <v>3053.2</v>
      </c>
      <c r="O11" s="314">
        <v>6008.57</v>
      </c>
      <c r="P11" s="314">
        <f t="shared" si="8"/>
        <v>3762.5</v>
      </c>
      <c r="Q11" s="314">
        <f t="shared" si="9"/>
        <v>2246.0699999999997</v>
      </c>
      <c r="R11" s="314">
        <v>6011.32</v>
      </c>
      <c r="S11" s="314">
        <f t="shared" si="10"/>
        <v>3762.5</v>
      </c>
      <c r="T11" s="314">
        <f t="shared" si="11"/>
        <v>2248.8199999999997</v>
      </c>
    </row>
    <row r="12" spans="1:22" x14ac:dyDescent="0.2">
      <c r="A12" s="210" t="s">
        <v>55</v>
      </c>
      <c r="B12" s="11" t="s">
        <v>79</v>
      </c>
      <c r="C12" s="17">
        <v>13263.8</v>
      </c>
      <c r="D12" s="17">
        <v>8479</v>
      </c>
      <c r="E12" s="17">
        <f>C12-D12</f>
        <v>4784.7999999999993</v>
      </c>
      <c r="F12" s="17">
        <f>C12</f>
        <v>13263.8</v>
      </c>
      <c r="G12" s="17">
        <f>D12</f>
        <v>8479</v>
      </c>
      <c r="H12" s="17">
        <f t="shared" si="12"/>
        <v>4784.7999999999993</v>
      </c>
      <c r="I12" s="311">
        <f t="shared" ref="I12:J12" si="17">F12</f>
        <v>13263.8</v>
      </c>
      <c r="J12" s="311">
        <f t="shared" si="17"/>
        <v>8479</v>
      </c>
      <c r="K12" s="311">
        <f t="shared" si="3"/>
        <v>4784.7999999999993</v>
      </c>
      <c r="L12" s="311">
        <f t="shared" ref="L12:L25" si="18">I12</f>
        <v>13263.8</v>
      </c>
      <c r="M12" s="311">
        <f t="shared" ref="M12:M25" si="19">J12</f>
        <v>8479</v>
      </c>
      <c r="N12" s="311">
        <f t="shared" si="6"/>
        <v>4784.7999999999993</v>
      </c>
      <c r="O12" s="311">
        <f>13516.43+(252.64*4)</f>
        <v>14526.99</v>
      </c>
      <c r="P12" s="311">
        <f>8667+(188*4)</f>
        <v>9419</v>
      </c>
      <c r="Q12" s="311">
        <f t="shared" si="9"/>
        <v>5107.99</v>
      </c>
      <c r="R12" s="311">
        <v>13568.49</v>
      </c>
      <c r="S12" s="311">
        <v>8667</v>
      </c>
      <c r="T12" s="311">
        <f t="shared" si="11"/>
        <v>4901.49</v>
      </c>
    </row>
    <row r="13" spans="1:22" x14ac:dyDescent="0.2">
      <c r="A13" s="210" t="s">
        <v>56</v>
      </c>
      <c r="B13" s="11" t="s">
        <v>76</v>
      </c>
      <c r="C13" s="17">
        <v>0</v>
      </c>
      <c r="D13" s="17">
        <v>0</v>
      </c>
      <c r="E13" s="17">
        <f t="shared" si="14"/>
        <v>0</v>
      </c>
      <c r="F13" s="17">
        <f>C13</f>
        <v>0</v>
      </c>
      <c r="G13" s="17">
        <f t="shared" si="15"/>
        <v>0</v>
      </c>
      <c r="H13" s="17">
        <f t="shared" si="12"/>
        <v>0</v>
      </c>
      <c r="I13" s="311">
        <v>11814.77</v>
      </c>
      <c r="J13" s="311">
        <v>6702</v>
      </c>
      <c r="K13" s="311">
        <f t="shared" ref="K13:K25" si="20">I13-J13</f>
        <v>5112.7700000000004</v>
      </c>
      <c r="L13" s="311">
        <f>I13</f>
        <v>11814.77</v>
      </c>
      <c r="M13" s="311">
        <f>J13</f>
        <v>6702</v>
      </c>
      <c r="N13" s="311">
        <f t="shared" si="6"/>
        <v>5112.7700000000004</v>
      </c>
      <c r="O13" s="311">
        <f t="shared" ref="O13:O24" si="21">L13</f>
        <v>11814.77</v>
      </c>
      <c r="P13" s="311">
        <f t="shared" ref="P13:P24" si="22">M13</f>
        <v>6702</v>
      </c>
      <c r="Q13" s="311">
        <f t="shared" si="9"/>
        <v>5112.7700000000004</v>
      </c>
      <c r="R13" s="311">
        <v>11808.79</v>
      </c>
      <c r="S13" s="311">
        <f t="shared" ref="S13:S24" si="23">P13</f>
        <v>6702</v>
      </c>
      <c r="T13" s="311">
        <f t="shared" si="11"/>
        <v>5106.7900000000009</v>
      </c>
    </row>
    <row r="14" spans="1:22" x14ac:dyDescent="0.2">
      <c r="A14" s="210" t="s">
        <v>80</v>
      </c>
      <c r="B14" s="11" t="s">
        <v>78</v>
      </c>
      <c r="C14" s="17">
        <v>11784.91</v>
      </c>
      <c r="D14" s="17">
        <v>7733</v>
      </c>
      <c r="E14" s="17">
        <f t="shared" si="14"/>
        <v>4051.91</v>
      </c>
      <c r="F14" s="17">
        <f>C14</f>
        <v>11784.91</v>
      </c>
      <c r="G14" s="17">
        <f>D14</f>
        <v>7733</v>
      </c>
      <c r="H14" s="17">
        <f t="shared" si="12"/>
        <v>4051.91</v>
      </c>
      <c r="I14" s="311">
        <f t="shared" ref="I14:I25" si="24">F14</f>
        <v>11784.91</v>
      </c>
      <c r="J14" s="311">
        <f t="shared" ref="J14:J25" si="25">G14</f>
        <v>7733</v>
      </c>
      <c r="K14" s="311">
        <f t="shared" si="20"/>
        <v>4051.91</v>
      </c>
      <c r="L14" s="311">
        <f t="shared" si="18"/>
        <v>11784.91</v>
      </c>
      <c r="M14" s="311">
        <f t="shared" si="19"/>
        <v>7733</v>
      </c>
      <c r="N14" s="311">
        <f t="shared" si="6"/>
        <v>4051.91</v>
      </c>
      <c r="O14" s="311">
        <f t="shared" si="21"/>
        <v>11784.91</v>
      </c>
      <c r="P14" s="311">
        <f t="shared" si="22"/>
        <v>7733</v>
      </c>
      <c r="Q14" s="311">
        <f t="shared" si="9"/>
        <v>4051.91</v>
      </c>
      <c r="R14" s="311">
        <v>11807.65</v>
      </c>
      <c r="S14" s="311">
        <f t="shared" si="23"/>
        <v>7733</v>
      </c>
      <c r="T14" s="311">
        <f t="shared" si="11"/>
        <v>4074.6499999999996</v>
      </c>
    </row>
    <row r="15" spans="1:22" x14ac:dyDescent="0.2">
      <c r="A15" s="210" t="s">
        <v>57</v>
      </c>
      <c r="B15" s="11" t="s">
        <v>76</v>
      </c>
      <c r="C15" s="17">
        <v>14914.86</v>
      </c>
      <c r="D15" s="17">
        <v>9687</v>
      </c>
      <c r="E15" s="17">
        <f t="shared" si="14"/>
        <v>5227.8600000000006</v>
      </c>
      <c r="F15" s="17">
        <f t="shared" ref="F15:F25" si="26">C15</f>
        <v>14914.86</v>
      </c>
      <c r="G15" s="17">
        <f t="shared" si="15"/>
        <v>9687</v>
      </c>
      <c r="H15" s="17">
        <f t="shared" si="12"/>
        <v>5227.8600000000006</v>
      </c>
      <c r="I15" s="311">
        <f t="shared" si="24"/>
        <v>14914.86</v>
      </c>
      <c r="J15" s="311">
        <f t="shared" si="25"/>
        <v>9687</v>
      </c>
      <c r="K15" s="311">
        <f t="shared" si="20"/>
        <v>5227.8600000000006</v>
      </c>
      <c r="L15" s="311">
        <f t="shared" si="18"/>
        <v>14914.86</v>
      </c>
      <c r="M15" s="311">
        <f t="shared" si="19"/>
        <v>9687</v>
      </c>
      <c r="N15" s="311">
        <f t="shared" si="6"/>
        <v>5227.8600000000006</v>
      </c>
      <c r="O15" s="311">
        <f t="shared" si="21"/>
        <v>14914.86</v>
      </c>
      <c r="P15" s="311">
        <f t="shared" si="22"/>
        <v>9687</v>
      </c>
      <c r="Q15" s="311">
        <f t="shared" si="9"/>
        <v>5227.8600000000006</v>
      </c>
      <c r="R15" s="311">
        <v>14935.66</v>
      </c>
      <c r="S15" s="311">
        <f t="shared" si="23"/>
        <v>9687</v>
      </c>
      <c r="T15" s="311">
        <f t="shared" si="11"/>
        <v>5248.66</v>
      </c>
    </row>
    <row r="16" spans="1:22" x14ac:dyDescent="0.2">
      <c r="A16" s="210" t="s">
        <v>58</v>
      </c>
      <c r="B16" s="11" t="s">
        <v>78</v>
      </c>
      <c r="C16" s="17">
        <f>291.01+12220.17</f>
        <v>12511.18</v>
      </c>
      <c r="D16" s="17">
        <v>7676</v>
      </c>
      <c r="E16" s="17">
        <f t="shared" si="14"/>
        <v>4835.18</v>
      </c>
      <c r="F16" s="17">
        <v>12220.17</v>
      </c>
      <c r="G16" s="17">
        <v>7676</v>
      </c>
      <c r="H16" s="17">
        <f t="shared" si="12"/>
        <v>4544.17</v>
      </c>
      <c r="I16" s="311">
        <v>7062.74</v>
      </c>
      <c r="J16" s="311">
        <v>3838</v>
      </c>
      <c r="K16" s="311">
        <f t="shared" si="20"/>
        <v>3224.74</v>
      </c>
      <c r="L16" s="311">
        <f t="shared" si="18"/>
        <v>7062.74</v>
      </c>
      <c r="M16" s="311">
        <f t="shared" si="19"/>
        <v>3838</v>
      </c>
      <c r="N16" s="311">
        <f t="shared" si="6"/>
        <v>3224.74</v>
      </c>
      <c r="O16" s="311">
        <f t="shared" si="21"/>
        <v>7062.74</v>
      </c>
      <c r="P16" s="311">
        <f t="shared" si="22"/>
        <v>3838</v>
      </c>
      <c r="Q16" s="311">
        <f t="shared" si="9"/>
        <v>3224.74</v>
      </c>
      <c r="R16" s="311">
        <v>7076.92</v>
      </c>
      <c r="S16" s="311">
        <f t="shared" si="23"/>
        <v>3838</v>
      </c>
      <c r="T16" s="311">
        <f t="shared" si="11"/>
        <v>3238.92</v>
      </c>
    </row>
    <row r="17" spans="1:22" x14ac:dyDescent="0.2">
      <c r="A17" s="210" t="s">
        <v>176</v>
      </c>
      <c r="B17" s="11" t="s">
        <v>79</v>
      </c>
      <c r="C17" s="17">
        <v>12218.08</v>
      </c>
      <c r="D17" s="17">
        <v>7676</v>
      </c>
      <c r="E17" s="17">
        <f t="shared" si="14"/>
        <v>4542.08</v>
      </c>
      <c r="F17" s="17">
        <v>12218.08</v>
      </c>
      <c r="G17" s="17">
        <v>7676</v>
      </c>
      <c r="H17" s="17">
        <f t="shared" si="12"/>
        <v>4542.08</v>
      </c>
      <c r="I17" s="311">
        <v>12218.08</v>
      </c>
      <c r="J17" s="311">
        <f t="shared" si="25"/>
        <v>7676</v>
      </c>
      <c r="K17" s="311">
        <f t="shared" si="20"/>
        <v>4542.08</v>
      </c>
      <c r="L17" s="311">
        <f t="shared" si="18"/>
        <v>12218.08</v>
      </c>
      <c r="M17" s="311">
        <f t="shared" si="19"/>
        <v>7676</v>
      </c>
      <c r="N17" s="311">
        <f t="shared" si="6"/>
        <v>4542.08</v>
      </c>
      <c r="O17" s="311">
        <f t="shared" si="21"/>
        <v>12218.08</v>
      </c>
      <c r="P17" s="311">
        <f t="shared" si="22"/>
        <v>7676</v>
      </c>
      <c r="Q17" s="311">
        <f t="shared" si="9"/>
        <v>4542.08</v>
      </c>
      <c r="R17" s="311">
        <v>12216.36</v>
      </c>
      <c r="S17" s="311">
        <f t="shared" si="23"/>
        <v>7676</v>
      </c>
      <c r="T17" s="311">
        <f t="shared" si="11"/>
        <v>4540.3600000000006</v>
      </c>
    </row>
    <row r="18" spans="1:22" x14ac:dyDescent="0.2">
      <c r="A18" s="210" t="s">
        <v>59</v>
      </c>
      <c r="B18" s="11" t="s">
        <v>78</v>
      </c>
      <c r="C18" s="17">
        <v>12220.17</v>
      </c>
      <c r="D18" s="17">
        <v>7676</v>
      </c>
      <c r="E18" s="17">
        <f t="shared" si="14"/>
        <v>4544.17</v>
      </c>
      <c r="F18" s="17">
        <f t="shared" si="26"/>
        <v>12220.17</v>
      </c>
      <c r="G18" s="17">
        <f t="shared" si="15"/>
        <v>7676</v>
      </c>
      <c r="H18" s="17">
        <f t="shared" si="12"/>
        <v>4544.17</v>
      </c>
      <c r="I18" s="311">
        <f t="shared" si="24"/>
        <v>12220.17</v>
      </c>
      <c r="J18" s="311">
        <f t="shared" si="25"/>
        <v>7676</v>
      </c>
      <c r="K18" s="311">
        <f t="shared" si="20"/>
        <v>4544.17</v>
      </c>
      <c r="L18" s="311">
        <f t="shared" si="18"/>
        <v>12220.17</v>
      </c>
      <c r="M18" s="311">
        <f t="shared" si="19"/>
        <v>7676</v>
      </c>
      <c r="N18" s="311">
        <f t="shared" si="6"/>
        <v>4544.17</v>
      </c>
      <c r="O18" s="311">
        <f t="shared" si="21"/>
        <v>12220.17</v>
      </c>
      <c r="P18" s="311">
        <f t="shared" si="22"/>
        <v>7676</v>
      </c>
      <c r="Q18" s="311">
        <f t="shared" si="9"/>
        <v>4544.17</v>
      </c>
      <c r="R18" s="311">
        <v>12234.35</v>
      </c>
      <c r="S18" s="311">
        <f t="shared" si="23"/>
        <v>7676</v>
      </c>
      <c r="T18" s="311">
        <f t="shared" si="11"/>
        <v>4558.3500000000004</v>
      </c>
    </row>
    <row r="19" spans="1:22" x14ac:dyDescent="0.2">
      <c r="A19" s="210" t="s">
        <v>178</v>
      </c>
      <c r="B19" s="11" t="s">
        <v>77</v>
      </c>
      <c r="C19" s="17">
        <v>13606.05</v>
      </c>
      <c r="D19" s="17">
        <v>8708</v>
      </c>
      <c r="E19" s="17">
        <f t="shared" si="14"/>
        <v>4898.0499999999993</v>
      </c>
      <c r="F19" s="17">
        <f t="shared" si="26"/>
        <v>13606.05</v>
      </c>
      <c r="G19" s="17">
        <f t="shared" si="15"/>
        <v>8708</v>
      </c>
      <c r="H19" s="17">
        <f t="shared" si="12"/>
        <v>4898.0499999999993</v>
      </c>
      <c r="I19" s="311">
        <f t="shared" si="24"/>
        <v>13606.05</v>
      </c>
      <c r="J19" s="311">
        <f t="shared" si="25"/>
        <v>8708</v>
      </c>
      <c r="K19" s="311">
        <f t="shared" si="20"/>
        <v>4898.0499999999993</v>
      </c>
      <c r="L19" s="311">
        <f t="shared" si="18"/>
        <v>13606.05</v>
      </c>
      <c r="M19" s="311">
        <f t="shared" si="19"/>
        <v>8708</v>
      </c>
      <c r="N19" s="311">
        <f t="shared" si="6"/>
        <v>4898.0499999999993</v>
      </c>
      <c r="O19" s="311">
        <f t="shared" si="21"/>
        <v>13606.05</v>
      </c>
      <c r="P19" s="311">
        <f t="shared" si="22"/>
        <v>8708</v>
      </c>
      <c r="Q19" s="311">
        <f t="shared" si="9"/>
        <v>4898.0499999999993</v>
      </c>
      <c r="R19" s="311">
        <v>13630.67</v>
      </c>
      <c r="S19" s="311">
        <f t="shared" si="23"/>
        <v>8708</v>
      </c>
      <c r="T19" s="311">
        <f t="shared" si="11"/>
        <v>4922.67</v>
      </c>
    </row>
    <row r="20" spans="1:22" x14ac:dyDescent="0.2">
      <c r="A20" s="210" t="s">
        <v>60</v>
      </c>
      <c r="B20" s="11" t="s">
        <v>76</v>
      </c>
      <c r="C20" s="17">
        <v>14621.95</v>
      </c>
      <c r="D20" s="17">
        <v>9464</v>
      </c>
      <c r="E20" s="17">
        <f t="shared" si="14"/>
        <v>5157.9500000000007</v>
      </c>
      <c r="F20" s="17">
        <f t="shared" si="26"/>
        <v>14621.95</v>
      </c>
      <c r="G20" s="17">
        <f t="shared" si="15"/>
        <v>9464</v>
      </c>
      <c r="H20" s="17">
        <f t="shared" si="12"/>
        <v>5157.9500000000007</v>
      </c>
      <c r="I20" s="311">
        <f t="shared" si="24"/>
        <v>14621.95</v>
      </c>
      <c r="J20" s="311">
        <f t="shared" si="25"/>
        <v>9464</v>
      </c>
      <c r="K20" s="311">
        <f t="shared" si="20"/>
        <v>5157.9500000000007</v>
      </c>
      <c r="L20" s="311">
        <v>14158.23</v>
      </c>
      <c r="M20" s="311">
        <f t="shared" si="19"/>
        <v>9464</v>
      </c>
      <c r="N20" s="311">
        <f t="shared" si="6"/>
        <v>4694.2299999999996</v>
      </c>
      <c r="O20" s="311">
        <f t="shared" si="21"/>
        <v>14158.23</v>
      </c>
      <c r="P20" s="311">
        <f t="shared" si="22"/>
        <v>9464</v>
      </c>
      <c r="Q20" s="311">
        <f t="shared" si="9"/>
        <v>4694.2299999999996</v>
      </c>
      <c r="R20" s="311">
        <v>14180.97</v>
      </c>
      <c r="S20" s="311">
        <f t="shared" si="23"/>
        <v>9464</v>
      </c>
      <c r="T20" s="311">
        <f t="shared" si="11"/>
        <v>4716.9699999999993</v>
      </c>
    </row>
    <row r="21" spans="1:22" x14ac:dyDescent="0.2">
      <c r="A21" s="210" t="s">
        <v>61</v>
      </c>
      <c r="B21" s="11" t="s">
        <v>77</v>
      </c>
      <c r="C21" s="17">
        <v>12177.4</v>
      </c>
      <c r="D21" s="17">
        <v>8492</v>
      </c>
      <c r="E21" s="17">
        <f t="shared" si="14"/>
        <v>3685.3999999999996</v>
      </c>
      <c r="F21" s="17">
        <f t="shared" si="26"/>
        <v>12177.4</v>
      </c>
      <c r="G21" s="17">
        <v>8492</v>
      </c>
      <c r="H21" s="17">
        <f t="shared" si="12"/>
        <v>3685.3999999999996</v>
      </c>
      <c r="I21" s="311">
        <f t="shared" si="24"/>
        <v>12177.4</v>
      </c>
      <c r="J21" s="311">
        <f t="shared" si="25"/>
        <v>8492</v>
      </c>
      <c r="K21" s="311">
        <f t="shared" si="20"/>
        <v>3685.3999999999996</v>
      </c>
      <c r="L21" s="311">
        <f t="shared" si="18"/>
        <v>12177.4</v>
      </c>
      <c r="M21" s="311">
        <f t="shared" si="19"/>
        <v>8492</v>
      </c>
      <c r="N21" s="311">
        <f t="shared" si="6"/>
        <v>3685.3999999999996</v>
      </c>
      <c r="O21" s="311">
        <f>12412.57+(235.16*4)</f>
        <v>13353.21</v>
      </c>
      <c r="P21" s="311">
        <f>8667+(175*4)</f>
        <v>9367</v>
      </c>
      <c r="Q21" s="311">
        <f t="shared" si="9"/>
        <v>3986.2099999999991</v>
      </c>
      <c r="R21" s="311">
        <v>12405.14</v>
      </c>
      <c r="S21" s="311">
        <v>8667</v>
      </c>
      <c r="T21" s="311">
        <f t="shared" si="11"/>
        <v>3738.1399999999994</v>
      </c>
    </row>
    <row r="22" spans="1:22" x14ac:dyDescent="0.2">
      <c r="A22" s="210" t="s">
        <v>62</v>
      </c>
      <c r="B22" s="11" t="s">
        <v>77</v>
      </c>
      <c r="C22" s="17">
        <v>11087.51</v>
      </c>
      <c r="D22" s="17">
        <v>7676</v>
      </c>
      <c r="E22" s="17">
        <f t="shared" si="14"/>
        <v>3411.51</v>
      </c>
      <c r="F22" s="17">
        <f t="shared" si="26"/>
        <v>11087.51</v>
      </c>
      <c r="G22" s="17">
        <f>D22</f>
        <v>7676</v>
      </c>
      <c r="H22" s="17">
        <f t="shared" si="12"/>
        <v>3411.51</v>
      </c>
      <c r="I22" s="311">
        <f t="shared" si="24"/>
        <v>11087.51</v>
      </c>
      <c r="J22" s="311">
        <f t="shared" si="25"/>
        <v>7676</v>
      </c>
      <c r="K22" s="311">
        <f t="shared" si="20"/>
        <v>3411.51</v>
      </c>
      <c r="L22" s="311">
        <f t="shared" si="18"/>
        <v>11087.51</v>
      </c>
      <c r="M22" s="311">
        <f t="shared" si="19"/>
        <v>7676</v>
      </c>
      <c r="N22" s="311">
        <f t="shared" si="6"/>
        <v>3411.51</v>
      </c>
      <c r="O22" s="311">
        <f t="shared" si="21"/>
        <v>11087.51</v>
      </c>
      <c r="P22" s="311">
        <f t="shared" si="22"/>
        <v>7676</v>
      </c>
      <c r="Q22" s="311">
        <f t="shared" si="9"/>
        <v>3411.51</v>
      </c>
      <c r="R22" s="311">
        <v>11090.6</v>
      </c>
      <c r="S22" s="311">
        <f t="shared" si="23"/>
        <v>7676</v>
      </c>
      <c r="T22" s="311">
        <f t="shared" si="11"/>
        <v>3414.6000000000004</v>
      </c>
    </row>
    <row r="23" spans="1:22" x14ac:dyDescent="0.2">
      <c r="A23" s="210" t="s">
        <v>63</v>
      </c>
      <c r="B23" s="11" t="s">
        <v>77</v>
      </c>
      <c r="C23" s="17">
        <v>13604.85</v>
      </c>
      <c r="D23" s="17">
        <v>8708</v>
      </c>
      <c r="E23" s="17">
        <f t="shared" si="14"/>
        <v>4896.8500000000004</v>
      </c>
      <c r="F23" s="17">
        <v>13604.85</v>
      </c>
      <c r="G23" s="17">
        <v>8708</v>
      </c>
      <c r="H23" s="17">
        <f t="shared" si="12"/>
        <v>4896.8500000000004</v>
      </c>
      <c r="I23" s="311">
        <v>14522.85</v>
      </c>
      <c r="J23" s="311">
        <v>8708</v>
      </c>
      <c r="K23" s="311">
        <f t="shared" si="20"/>
        <v>5814.85</v>
      </c>
      <c r="L23" s="311">
        <v>13604.85</v>
      </c>
      <c r="M23" s="311">
        <f t="shared" si="19"/>
        <v>8708</v>
      </c>
      <c r="N23" s="311">
        <f t="shared" si="6"/>
        <v>4896.8500000000004</v>
      </c>
      <c r="O23" s="311">
        <f t="shared" si="21"/>
        <v>13604.85</v>
      </c>
      <c r="P23" s="311">
        <f t="shared" si="22"/>
        <v>8708</v>
      </c>
      <c r="Q23" s="311">
        <f t="shared" si="9"/>
        <v>4896.8500000000004</v>
      </c>
      <c r="R23" s="311">
        <v>13603.14</v>
      </c>
      <c r="S23" s="311">
        <f t="shared" si="23"/>
        <v>8708</v>
      </c>
      <c r="T23" s="311">
        <f t="shared" si="11"/>
        <v>4895.1399999999994</v>
      </c>
    </row>
    <row r="24" spans="1:22" x14ac:dyDescent="0.2">
      <c r="A24" s="210" t="s">
        <v>177</v>
      </c>
      <c r="B24" s="11" t="s">
        <v>77</v>
      </c>
      <c r="C24" s="17">
        <v>13149</v>
      </c>
      <c r="D24" s="17">
        <v>8708</v>
      </c>
      <c r="E24" s="207">
        <f t="shared" si="14"/>
        <v>4441</v>
      </c>
      <c r="F24" s="17">
        <v>13149</v>
      </c>
      <c r="G24" s="17">
        <v>8708</v>
      </c>
      <c r="H24" s="17">
        <f t="shared" si="12"/>
        <v>4441</v>
      </c>
      <c r="I24" s="311">
        <f t="shared" si="24"/>
        <v>13149</v>
      </c>
      <c r="J24" s="311">
        <f t="shared" si="25"/>
        <v>8708</v>
      </c>
      <c r="K24" s="311">
        <f t="shared" si="20"/>
        <v>4441</v>
      </c>
      <c r="L24" s="311">
        <f t="shared" si="18"/>
        <v>13149</v>
      </c>
      <c r="M24" s="311">
        <f t="shared" si="19"/>
        <v>8708</v>
      </c>
      <c r="N24" s="311">
        <f t="shared" si="6"/>
        <v>4441</v>
      </c>
      <c r="O24" s="311">
        <f t="shared" si="21"/>
        <v>13149</v>
      </c>
      <c r="P24" s="311">
        <f t="shared" si="22"/>
        <v>8708</v>
      </c>
      <c r="Q24" s="311">
        <f t="shared" si="9"/>
        <v>4441</v>
      </c>
      <c r="R24" s="311">
        <v>13157.03</v>
      </c>
      <c r="S24" s="311">
        <f t="shared" si="23"/>
        <v>8708</v>
      </c>
      <c r="T24" s="311">
        <f t="shared" si="11"/>
        <v>4449.0300000000007</v>
      </c>
    </row>
    <row r="25" spans="1:22" x14ac:dyDescent="0.2">
      <c r="A25" s="210" t="s">
        <v>64</v>
      </c>
      <c r="B25" s="11" t="s">
        <v>78</v>
      </c>
      <c r="C25" s="17">
        <v>13281.2</v>
      </c>
      <c r="D25" s="17">
        <v>8492</v>
      </c>
      <c r="E25" s="17">
        <f t="shared" si="14"/>
        <v>4789.2000000000007</v>
      </c>
      <c r="F25" s="17">
        <f t="shared" si="26"/>
        <v>13281.2</v>
      </c>
      <c r="G25" s="17">
        <f>D25</f>
        <v>8492</v>
      </c>
      <c r="H25" s="17">
        <f t="shared" si="12"/>
        <v>4789.2000000000007</v>
      </c>
      <c r="I25" s="311">
        <f t="shared" si="24"/>
        <v>13281.2</v>
      </c>
      <c r="J25" s="311">
        <f t="shared" si="25"/>
        <v>8492</v>
      </c>
      <c r="K25" s="311">
        <f t="shared" si="20"/>
        <v>4789.2000000000007</v>
      </c>
      <c r="L25" s="311">
        <f t="shared" si="18"/>
        <v>13281.2</v>
      </c>
      <c r="M25" s="311">
        <f t="shared" si="19"/>
        <v>8492</v>
      </c>
      <c r="N25" s="311">
        <f t="shared" si="6"/>
        <v>4789.2000000000007</v>
      </c>
      <c r="O25" s="311">
        <f>13516.37+(235.16*4)</f>
        <v>14457.01</v>
      </c>
      <c r="P25" s="311">
        <f>8667+(175*4)</f>
        <v>9367</v>
      </c>
      <c r="Q25" s="311">
        <f t="shared" si="9"/>
        <v>5090.01</v>
      </c>
      <c r="R25" s="311">
        <v>13568.83</v>
      </c>
      <c r="S25" s="311">
        <v>8667</v>
      </c>
      <c r="T25" s="311">
        <f t="shared" si="11"/>
        <v>4901.83</v>
      </c>
    </row>
    <row r="26" spans="1:22" s="32" customFormat="1" x14ac:dyDescent="0.2">
      <c r="A26" s="108" t="s">
        <v>34</v>
      </c>
      <c r="B26" s="31"/>
      <c r="C26" s="106">
        <f t="shared" ref="C26:T26" si="27">SUM(C3:C25)</f>
        <v>245853.92000000004</v>
      </c>
      <c r="D26" s="106">
        <f t="shared" si="27"/>
        <v>159426</v>
      </c>
      <c r="E26" s="106">
        <f t="shared" si="27"/>
        <v>86427.919999999984</v>
      </c>
      <c r="F26" s="106">
        <f t="shared" si="27"/>
        <v>248141.61000000004</v>
      </c>
      <c r="G26" s="106">
        <f t="shared" si="27"/>
        <v>161345</v>
      </c>
      <c r="H26" s="106">
        <f t="shared" si="27"/>
        <v>86796.609999999986</v>
      </c>
      <c r="I26" s="107">
        <f t="shared" si="27"/>
        <v>261078.32</v>
      </c>
      <c r="J26" s="107">
        <f t="shared" si="27"/>
        <v>167971.5</v>
      </c>
      <c r="K26" s="107">
        <f t="shared" si="27"/>
        <v>93106.819999999978</v>
      </c>
      <c r="L26" s="107">
        <f t="shared" si="27"/>
        <v>261150.93000000002</v>
      </c>
      <c r="M26" s="107">
        <f t="shared" si="27"/>
        <v>167971.5</v>
      </c>
      <c r="N26" s="107">
        <f t="shared" si="27"/>
        <v>93179.429999999978</v>
      </c>
      <c r="O26" s="107">
        <f t="shared" si="27"/>
        <v>264772.43</v>
      </c>
      <c r="P26" s="107">
        <f>SUM(P3:P25)</f>
        <v>170966.5</v>
      </c>
      <c r="Q26" s="107">
        <f t="shared" si="27"/>
        <v>93805.93</v>
      </c>
      <c r="R26" s="107">
        <f t="shared" si="27"/>
        <v>261318.06</v>
      </c>
      <c r="S26" s="107">
        <f t="shared" si="27"/>
        <v>168570.5</v>
      </c>
      <c r="T26" s="107">
        <f t="shared" si="27"/>
        <v>92747.560000000012</v>
      </c>
      <c r="U26"/>
      <c r="V26"/>
    </row>
    <row r="27" spans="1:22" s="6" customFormat="1" x14ac:dyDescent="0.2">
      <c r="A27" s="211"/>
      <c r="B27" s="5"/>
      <c r="C27" s="368" t="s">
        <v>83</v>
      </c>
      <c r="D27" s="369"/>
      <c r="E27" s="369"/>
      <c r="F27" s="368" t="s">
        <v>84</v>
      </c>
      <c r="G27" s="369"/>
      <c r="H27" s="369"/>
      <c r="I27" s="363" t="s">
        <v>85</v>
      </c>
      <c r="J27" s="364"/>
      <c r="K27" s="364"/>
      <c r="L27" s="363" t="s">
        <v>86</v>
      </c>
      <c r="M27" s="364"/>
      <c r="N27" s="364"/>
      <c r="O27" s="363" t="s">
        <v>87</v>
      </c>
      <c r="P27" s="364"/>
      <c r="Q27" s="364"/>
      <c r="R27" s="363" t="s">
        <v>88</v>
      </c>
      <c r="S27" s="364"/>
      <c r="T27" s="364"/>
      <c r="U27"/>
      <c r="V27"/>
    </row>
    <row r="28" spans="1:22" x14ac:dyDescent="0.2">
      <c r="A28" s="212" t="s">
        <v>39</v>
      </c>
      <c r="B28" s="10"/>
      <c r="C28" s="17" t="s">
        <v>34</v>
      </c>
      <c r="D28" s="17" t="s">
        <v>31</v>
      </c>
      <c r="E28" s="17" t="s">
        <v>32</v>
      </c>
      <c r="F28" s="17" t="s">
        <v>34</v>
      </c>
      <c r="G28" s="17" t="s">
        <v>31</v>
      </c>
      <c r="H28" s="17" t="s">
        <v>32</v>
      </c>
      <c r="I28" s="18" t="s">
        <v>34</v>
      </c>
      <c r="J28" s="18" t="s">
        <v>31</v>
      </c>
      <c r="K28" s="18" t="s">
        <v>32</v>
      </c>
      <c r="L28" s="18" t="s">
        <v>34</v>
      </c>
      <c r="M28" s="18" t="s">
        <v>31</v>
      </c>
      <c r="N28" s="18" t="s">
        <v>32</v>
      </c>
      <c r="O28" s="18" t="s">
        <v>34</v>
      </c>
      <c r="P28" s="18" t="s">
        <v>31</v>
      </c>
      <c r="Q28" s="18" t="s">
        <v>32</v>
      </c>
      <c r="R28" s="18" t="s">
        <v>34</v>
      </c>
      <c r="S28" s="18" t="s">
        <v>31</v>
      </c>
      <c r="T28" s="18" t="s">
        <v>32</v>
      </c>
    </row>
    <row r="29" spans="1:22" x14ac:dyDescent="0.2">
      <c r="A29" s="210" t="str">
        <f>A3</f>
        <v>Agbo</v>
      </c>
      <c r="B29" s="11" t="s">
        <v>76</v>
      </c>
      <c r="C29" s="18">
        <f t="shared" ref="C29:C51" si="28">R3</f>
        <v>14138.63</v>
      </c>
      <c r="D29" s="18">
        <f t="shared" ref="D29:D51" si="29">S3</f>
        <v>9173</v>
      </c>
      <c r="E29" s="18">
        <f t="shared" ref="E29" si="30">C29-D29</f>
        <v>4965.6299999999992</v>
      </c>
      <c r="F29" s="18">
        <f t="shared" ref="F29:G36" si="31">R3</f>
        <v>14138.63</v>
      </c>
      <c r="G29" s="18">
        <f t="shared" si="31"/>
        <v>9173</v>
      </c>
      <c r="H29" s="18">
        <f t="shared" ref="H29" si="32">F29-G29</f>
        <v>4965.6299999999992</v>
      </c>
      <c r="I29" s="18">
        <f>14138.78+0.3</f>
        <v>14139.08</v>
      </c>
      <c r="J29" s="18">
        <f>G29</f>
        <v>9173</v>
      </c>
      <c r="K29" s="18">
        <f>I29-J29</f>
        <v>4966.08</v>
      </c>
      <c r="L29" s="186">
        <v>14138.78</v>
      </c>
      <c r="M29" s="186">
        <f t="shared" ref="M29:M45" si="33">J29</f>
        <v>9173</v>
      </c>
      <c r="N29" s="186">
        <f t="shared" ref="N29:N51" si="34">L29-M29</f>
        <v>4965.7800000000007</v>
      </c>
      <c r="O29" s="186">
        <f t="shared" ref="O29:P45" si="35">L29</f>
        <v>14138.78</v>
      </c>
      <c r="P29" s="186">
        <f t="shared" si="35"/>
        <v>9173</v>
      </c>
      <c r="Q29" s="186">
        <f t="shared" ref="Q29:Q51" si="36">O29-P29</f>
        <v>4965.7800000000007</v>
      </c>
      <c r="R29" s="186">
        <f t="shared" ref="R29:S45" si="37">O29</f>
        <v>14138.78</v>
      </c>
      <c r="S29" s="186">
        <f t="shared" si="37"/>
        <v>9173</v>
      </c>
      <c r="T29" s="186">
        <f t="shared" ref="T29:T51" si="38">R29-S29</f>
        <v>4965.7800000000007</v>
      </c>
    </row>
    <row r="30" spans="1:22" x14ac:dyDescent="0.2">
      <c r="A30" s="210" t="str">
        <f>A4</f>
        <v>Ahlgren</v>
      </c>
      <c r="B30" s="11" t="s">
        <v>77</v>
      </c>
      <c r="C30" s="186">
        <f t="shared" si="28"/>
        <v>11425.2</v>
      </c>
      <c r="D30" s="186">
        <f t="shared" si="29"/>
        <v>7925</v>
      </c>
      <c r="E30" s="186">
        <f t="shared" ref="E30:E51" si="39">C30-D30</f>
        <v>3500.2000000000007</v>
      </c>
      <c r="F30" s="186">
        <f t="shared" si="31"/>
        <v>11425.2</v>
      </c>
      <c r="G30" s="186">
        <f t="shared" si="31"/>
        <v>7925</v>
      </c>
      <c r="H30" s="186">
        <f t="shared" ref="H30:H51" si="40">F30-G30</f>
        <v>3500.2000000000007</v>
      </c>
      <c r="I30" s="186">
        <f>11425.35+0.3</f>
        <v>11425.65</v>
      </c>
      <c r="J30" s="186">
        <f t="shared" ref="J30:J51" si="41">G30</f>
        <v>7925</v>
      </c>
      <c r="K30" s="186">
        <f t="shared" ref="K30:K51" si="42">I30-J30</f>
        <v>3500.6499999999996</v>
      </c>
      <c r="L30" s="186">
        <v>11425.35</v>
      </c>
      <c r="M30" s="186">
        <f t="shared" si="33"/>
        <v>7925</v>
      </c>
      <c r="N30" s="186">
        <f t="shared" si="34"/>
        <v>3500.3500000000004</v>
      </c>
      <c r="O30" s="186">
        <f t="shared" si="35"/>
        <v>11425.35</v>
      </c>
      <c r="P30" s="186">
        <f t="shared" si="35"/>
        <v>7925</v>
      </c>
      <c r="Q30" s="186">
        <f t="shared" si="36"/>
        <v>3500.3500000000004</v>
      </c>
      <c r="R30" s="186">
        <f t="shared" si="37"/>
        <v>11425.35</v>
      </c>
      <c r="S30" s="186">
        <f t="shared" si="37"/>
        <v>7925</v>
      </c>
      <c r="T30" s="186">
        <f t="shared" si="38"/>
        <v>3500.3500000000004</v>
      </c>
    </row>
    <row r="31" spans="1:22" x14ac:dyDescent="0.2">
      <c r="A31" s="210" t="str">
        <f>A5</f>
        <v>Arakaki</v>
      </c>
      <c r="B31" s="11" t="s">
        <v>77</v>
      </c>
      <c r="C31" s="186">
        <f t="shared" si="28"/>
        <v>12234.35</v>
      </c>
      <c r="D31" s="186">
        <f t="shared" si="29"/>
        <v>7676</v>
      </c>
      <c r="E31" s="186">
        <f t="shared" si="39"/>
        <v>4558.3500000000004</v>
      </c>
      <c r="F31" s="186">
        <f t="shared" si="31"/>
        <v>12234.35</v>
      </c>
      <c r="G31" s="186">
        <f t="shared" si="31"/>
        <v>7676</v>
      </c>
      <c r="H31" s="186">
        <f t="shared" si="40"/>
        <v>4558.3500000000004</v>
      </c>
      <c r="I31" s="186">
        <f>12234.5+0.3</f>
        <v>12234.8</v>
      </c>
      <c r="J31" s="186">
        <f t="shared" si="41"/>
        <v>7676</v>
      </c>
      <c r="K31" s="186">
        <f t="shared" si="42"/>
        <v>4558.7999999999993</v>
      </c>
      <c r="L31" s="186">
        <v>12234.5</v>
      </c>
      <c r="M31" s="186">
        <f t="shared" si="33"/>
        <v>7676</v>
      </c>
      <c r="N31" s="186">
        <f t="shared" si="34"/>
        <v>4558.5</v>
      </c>
      <c r="O31" s="186">
        <f t="shared" si="35"/>
        <v>12234.5</v>
      </c>
      <c r="P31" s="186">
        <f t="shared" si="35"/>
        <v>7676</v>
      </c>
      <c r="Q31" s="186">
        <f t="shared" si="36"/>
        <v>4558.5</v>
      </c>
      <c r="R31" s="186">
        <f t="shared" si="37"/>
        <v>12234.5</v>
      </c>
      <c r="S31" s="186">
        <f t="shared" si="37"/>
        <v>7676</v>
      </c>
      <c r="T31" s="186">
        <f t="shared" si="38"/>
        <v>4558.5</v>
      </c>
    </row>
    <row r="32" spans="1:22" x14ac:dyDescent="0.2">
      <c r="A32" s="210" t="s">
        <v>137</v>
      </c>
      <c r="B32" s="11" t="s">
        <v>77</v>
      </c>
      <c r="C32" s="186">
        <f t="shared" si="28"/>
        <v>5491.01</v>
      </c>
      <c r="D32" s="186">
        <f t="shared" si="29"/>
        <v>3542</v>
      </c>
      <c r="E32" s="186">
        <f t="shared" si="39"/>
        <v>1949.0100000000002</v>
      </c>
      <c r="F32" s="186">
        <f t="shared" si="31"/>
        <v>5491.01</v>
      </c>
      <c r="G32" s="186">
        <f t="shared" si="31"/>
        <v>3542</v>
      </c>
      <c r="H32" s="186">
        <f t="shared" si="40"/>
        <v>1949.0100000000002</v>
      </c>
      <c r="I32" s="186">
        <f>5491.09+0.16</f>
        <v>5491.25</v>
      </c>
      <c r="J32" s="186">
        <f t="shared" si="41"/>
        <v>3542</v>
      </c>
      <c r="K32" s="186">
        <f t="shared" si="42"/>
        <v>1949.25</v>
      </c>
      <c r="L32" s="186">
        <v>5491.09</v>
      </c>
      <c r="M32" s="186">
        <f t="shared" si="33"/>
        <v>3542</v>
      </c>
      <c r="N32" s="186">
        <f t="shared" si="34"/>
        <v>1949.0900000000001</v>
      </c>
      <c r="O32" s="186">
        <f t="shared" si="35"/>
        <v>5491.09</v>
      </c>
      <c r="P32" s="186">
        <f t="shared" si="35"/>
        <v>3542</v>
      </c>
      <c r="Q32" s="186">
        <f t="shared" si="36"/>
        <v>1949.0900000000001</v>
      </c>
      <c r="R32" s="186">
        <f t="shared" si="37"/>
        <v>5491.09</v>
      </c>
      <c r="S32" s="186">
        <f t="shared" si="37"/>
        <v>3542</v>
      </c>
      <c r="T32" s="186">
        <f t="shared" si="38"/>
        <v>1949.0900000000001</v>
      </c>
    </row>
    <row r="33" spans="1:23" x14ac:dyDescent="0.2">
      <c r="A33" s="210" t="str">
        <f>A7</f>
        <v>Braun</v>
      </c>
      <c r="B33" s="11" t="s">
        <v>76</v>
      </c>
      <c r="C33" s="186">
        <f t="shared" si="28"/>
        <v>13992.01</v>
      </c>
      <c r="D33" s="186">
        <f t="shared" si="29"/>
        <v>8984</v>
      </c>
      <c r="E33" s="186">
        <f t="shared" si="39"/>
        <v>5008.01</v>
      </c>
      <c r="F33" s="186">
        <f t="shared" si="31"/>
        <v>13992.01</v>
      </c>
      <c r="G33" s="186">
        <f t="shared" si="31"/>
        <v>8984</v>
      </c>
      <c r="H33" s="186">
        <f t="shared" si="40"/>
        <v>5008.01</v>
      </c>
      <c r="I33" s="186">
        <f>13992.16+0.3</f>
        <v>13992.46</v>
      </c>
      <c r="J33" s="186">
        <f t="shared" si="41"/>
        <v>8984</v>
      </c>
      <c r="K33" s="186">
        <f t="shared" si="42"/>
        <v>5008.4599999999991</v>
      </c>
      <c r="L33" s="186">
        <v>13992.16</v>
      </c>
      <c r="M33" s="186">
        <f t="shared" si="33"/>
        <v>8984</v>
      </c>
      <c r="N33" s="186">
        <f t="shared" si="34"/>
        <v>5008.16</v>
      </c>
      <c r="O33" s="186">
        <f t="shared" si="35"/>
        <v>13992.16</v>
      </c>
      <c r="P33" s="186">
        <f t="shared" si="35"/>
        <v>8984</v>
      </c>
      <c r="Q33" s="186">
        <f t="shared" si="36"/>
        <v>5008.16</v>
      </c>
      <c r="R33" s="186">
        <f t="shared" si="37"/>
        <v>13992.16</v>
      </c>
      <c r="S33" s="186">
        <f t="shared" si="37"/>
        <v>8984</v>
      </c>
      <c r="T33" s="186">
        <f t="shared" si="38"/>
        <v>5008.16</v>
      </c>
    </row>
    <row r="34" spans="1:23" x14ac:dyDescent="0.2">
      <c r="A34" s="210" t="s">
        <v>266</v>
      </c>
      <c r="B34" s="11" t="s">
        <v>78</v>
      </c>
      <c r="C34" s="186">
        <f t="shared" si="28"/>
        <v>10523.68</v>
      </c>
      <c r="D34" s="186">
        <f t="shared" si="29"/>
        <v>7255</v>
      </c>
      <c r="E34" s="186">
        <f t="shared" si="39"/>
        <v>3268.6800000000003</v>
      </c>
      <c r="F34" s="186">
        <f t="shared" si="31"/>
        <v>10523.68</v>
      </c>
      <c r="G34" s="186">
        <f t="shared" si="31"/>
        <v>7255</v>
      </c>
      <c r="H34" s="186">
        <f t="shared" si="40"/>
        <v>3268.6800000000003</v>
      </c>
      <c r="I34" s="186">
        <f>10523.83+0.3</f>
        <v>10524.13</v>
      </c>
      <c r="J34" s="186">
        <f t="shared" si="41"/>
        <v>7255</v>
      </c>
      <c r="K34" s="186">
        <f t="shared" si="42"/>
        <v>3269.1299999999992</v>
      </c>
      <c r="L34" s="186">
        <v>10523.83</v>
      </c>
      <c r="M34" s="186">
        <f t="shared" si="33"/>
        <v>7255</v>
      </c>
      <c r="N34" s="186">
        <f t="shared" si="34"/>
        <v>3268.83</v>
      </c>
      <c r="O34" s="186">
        <f t="shared" si="35"/>
        <v>10523.83</v>
      </c>
      <c r="P34" s="186">
        <f t="shared" si="35"/>
        <v>7255</v>
      </c>
      <c r="Q34" s="186">
        <f t="shared" si="36"/>
        <v>3268.83</v>
      </c>
      <c r="R34" s="186">
        <f t="shared" si="37"/>
        <v>10523.83</v>
      </c>
      <c r="S34" s="186">
        <f t="shared" si="37"/>
        <v>7255</v>
      </c>
      <c r="T34" s="186">
        <f t="shared" si="38"/>
        <v>3268.83</v>
      </c>
    </row>
    <row r="35" spans="1:23" x14ac:dyDescent="0.2">
      <c r="A35" s="210" t="str">
        <f>A9</f>
        <v>Derickson</v>
      </c>
      <c r="B35" s="11" t="s">
        <v>78</v>
      </c>
      <c r="C35" s="186">
        <f t="shared" si="28"/>
        <v>0</v>
      </c>
      <c r="D35" s="186">
        <f t="shared" si="29"/>
        <v>0</v>
      </c>
      <c r="E35" s="186">
        <f t="shared" si="39"/>
        <v>0</v>
      </c>
      <c r="F35" s="186">
        <f t="shared" si="31"/>
        <v>0</v>
      </c>
      <c r="G35" s="186">
        <f t="shared" si="31"/>
        <v>0</v>
      </c>
      <c r="H35" s="186">
        <f t="shared" si="40"/>
        <v>0</v>
      </c>
      <c r="I35" s="186">
        <v>0</v>
      </c>
      <c r="J35" s="186">
        <f t="shared" si="41"/>
        <v>0</v>
      </c>
      <c r="K35" s="186">
        <f t="shared" si="42"/>
        <v>0</v>
      </c>
      <c r="L35" s="186">
        <v>14243.89</v>
      </c>
      <c r="M35" s="186">
        <v>9172</v>
      </c>
      <c r="N35" s="186">
        <f t="shared" si="34"/>
        <v>5071.8899999999994</v>
      </c>
      <c r="O35" s="186">
        <f t="shared" si="35"/>
        <v>14243.89</v>
      </c>
      <c r="P35" s="186">
        <f t="shared" si="35"/>
        <v>9172</v>
      </c>
      <c r="Q35" s="186">
        <f t="shared" si="36"/>
        <v>5071.8899999999994</v>
      </c>
      <c r="R35" s="186">
        <f t="shared" si="37"/>
        <v>14243.89</v>
      </c>
      <c r="S35" s="186">
        <f t="shared" si="37"/>
        <v>9172</v>
      </c>
      <c r="T35" s="186">
        <f t="shared" si="38"/>
        <v>5071.8899999999994</v>
      </c>
    </row>
    <row r="36" spans="1:23" x14ac:dyDescent="0.2">
      <c r="A36" s="210" t="str">
        <f>A10</f>
        <v>Dolan</v>
      </c>
      <c r="B36" s="11" t="s">
        <v>78</v>
      </c>
      <c r="C36" s="186">
        <f t="shared" si="28"/>
        <v>12217.26</v>
      </c>
      <c r="D36" s="186">
        <f t="shared" si="29"/>
        <v>7676</v>
      </c>
      <c r="E36" s="186">
        <f t="shared" si="39"/>
        <v>4541.26</v>
      </c>
      <c r="F36" s="186">
        <f t="shared" si="31"/>
        <v>12217.26</v>
      </c>
      <c r="G36" s="186">
        <f t="shared" si="31"/>
        <v>7676</v>
      </c>
      <c r="H36" s="186">
        <f t="shared" si="40"/>
        <v>4541.26</v>
      </c>
      <c r="I36" s="186">
        <f>12217.41+0.3</f>
        <v>12217.71</v>
      </c>
      <c r="J36" s="186">
        <f t="shared" si="41"/>
        <v>7676</v>
      </c>
      <c r="K36" s="186">
        <f t="shared" si="42"/>
        <v>4541.7099999999991</v>
      </c>
      <c r="L36" s="186">
        <v>12217.41</v>
      </c>
      <c r="M36" s="186">
        <f t="shared" si="33"/>
        <v>7676</v>
      </c>
      <c r="N36" s="186">
        <f t="shared" si="34"/>
        <v>4541.41</v>
      </c>
      <c r="O36" s="186">
        <f t="shared" si="35"/>
        <v>12217.41</v>
      </c>
      <c r="P36" s="186">
        <f t="shared" si="35"/>
        <v>7676</v>
      </c>
      <c r="Q36" s="186">
        <f t="shared" si="36"/>
        <v>4541.41</v>
      </c>
      <c r="R36" s="186">
        <f t="shared" si="37"/>
        <v>12217.41</v>
      </c>
      <c r="S36" s="186">
        <f t="shared" si="37"/>
        <v>7676</v>
      </c>
      <c r="T36" s="186">
        <f t="shared" si="38"/>
        <v>4541.41</v>
      </c>
      <c r="W36"/>
    </row>
    <row r="37" spans="1:23" x14ac:dyDescent="0.2">
      <c r="A37" s="210" t="s">
        <v>340</v>
      </c>
      <c r="B37" s="11" t="s">
        <v>78</v>
      </c>
      <c r="C37" s="186">
        <f t="shared" si="28"/>
        <v>6011.32</v>
      </c>
      <c r="D37" s="186">
        <f t="shared" si="29"/>
        <v>3762.5</v>
      </c>
      <c r="E37" s="186">
        <f t="shared" si="39"/>
        <v>2248.8199999999997</v>
      </c>
      <c r="F37" s="186">
        <f>C37</f>
        <v>6011.32</v>
      </c>
      <c r="G37" s="186">
        <f>D37</f>
        <v>3762.5</v>
      </c>
      <c r="H37" s="186">
        <f t="shared" si="40"/>
        <v>2248.8199999999997</v>
      </c>
      <c r="I37" s="186">
        <f>6011.39+0.14</f>
        <v>6011.5300000000007</v>
      </c>
      <c r="J37" s="186">
        <f t="shared" si="41"/>
        <v>3762.5</v>
      </c>
      <c r="K37" s="186">
        <f t="shared" si="42"/>
        <v>2249.0300000000007</v>
      </c>
      <c r="L37" s="186">
        <v>6011.39</v>
      </c>
      <c r="M37" s="186">
        <f t="shared" si="33"/>
        <v>3762.5</v>
      </c>
      <c r="N37" s="186">
        <f t="shared" si="34"/>
        <v>2248.8900000000003</v>
      </c>
      <c r="O37" s="186">
        <f t="shared" si="35"/>
        <v>6011.39</v>
      </c>
      <c r="P37" s="186">
        <f t="shared" si="35"/>
        <v>3762.5</v>
      </c>
      <c r="Q37" s="186">
        <f t="shared" si="36"/>
        <v>2248.8900000000003</v>
      </c>
      <c r="R37" s="186">
        <f t="shared" si="37"/>
        <v>6011.39</v>
      </c>
      <c r="S37" s="186">
        <f t="shared" si="37"/>
        <v>3762.5</v>
      </c>
      <c r="T37" s="186">
        <f t="shared" si="38"/>
        <v>2248.8900000000003</v>
      </c>
      <c r="W37"/>
    </row>
    <row r="38" spans="1:23" x14ac:dyDescent="0.2">
      <c r="A38" s="210" t="str">
        <f>A12</f>
        <v>Jin</v>
      </c>
      <c r="B38" s="11" t="s">
        <v>79</v>
      </c>
      <c r="C38" s="186">
        <f t="shared" si="28"/>
        <v>13568.49</v>
      </c>
      <c r="D38" s="186">
        <f t="shared" si="29"/>
        <v>8667</v>
      </c>
      <c r="E38" s="186">
        <f t="shared" si="39"/>
        <v>4901.49</v>
      </c>
      <c r="F38" s="186">
        <f t="shared" ref="F38:F51" si="43">R12</f>
        <v>13568.49</v>
      </c>
      <c r="G38" s="186">
        <f t="shared" ref="G38:G51" si="44">S12</f>
        <v>8667</v>
      </c>
      <c r="H38" s="186">
        <f t="shared" si="40"/>
        <v>4901.49</v>
      </c>
      <c r="I38" s="186">
        <f>13568.64+0.3</f>
        <v>13568.939999999999</v>
      </c>
      <c r="J38" s="186">
        <f t="shared" si="41"/>
        <v>8667</v>
      </c>
      <c r="K38" s="186">
        <f t="shared" si="42"/>
        <v>4901.9399999999987</v>
      </c>
      <c r="L38" s="186">
        <v>13568.64</v>
      </c>
      <c r="M38" s="186">
        <f t="shared" si="33"/>
        <v>8667</v>
      </c>
      <c r="N38" s="186">
        <f t="shared" si="34"/>
        <v>4901.6399999999994</v>
      </c>
      <c r="O38" s="186">
        <f t="shared" si="35"/>
        <v>13568.64</v>
      </c>
      <c r="P38" s="186">
        <f t="shared" si="35"/>
        <v>8667</v>
      </c>
      <c r="Q38" s="186">
        <f t="shared" si="36"/>
        <v>4901.6399999999994</v>
      </c>
      <c r="R38" s="186">
        <f t="shared" si="37"/>
        <v>13568.64</v>
      </c>
      <c r="S38" s="186">
        <f t="shared" si="37"/>
        <v>8667</v>
      </c>
      <c r="T38" s="186">
        <f t="shared" si="38"/>
        <v>4901.6399999999994</v>
      </c>
      <c r="W38"/>
    </row>
    <row r="39" spans="1:23" x14ac:dyDescent="0.2">
      <c r="A39" s="210" t="s">
        <v>56</v>
      </c>
      <c r="B39" s="11" t="s">
        <v>76</v>
      </c>
      <c r="C39" s="186">
        <f t="shared" si="28"/>
        <v>11808.79</v>
      </c>
      <c r="D39" s="186">
        <f t="shared" si="29"/>
        <v>6702</v>
      </c>
      <c r="E39" s="186">
        <f t="shared" si="39"/>
        <v>5106.7900000000009</v>
      </c>
      <c r="F39" s="186">
        <f>11440.49-379.38</f>
        <v>11061.11</v>
      </c>
      <c r="G39" s="186">
        <f t="shared" si="44"/>
        <v>6702</v>
      </c>
      <c r="H39" s="186">
        <f t="shared" si="40"/>
        <v>4359.1100000000006</v>
      </c>
      <c r="I39" s="186">
        <f>11435.55+0.3</f>
        <v>11435.849999999999</v>
      </c>
      <c r="J39" s="186">
        <f t="shared" si="41"/>
        <v>6702</v>
      </c>
      <c r="K39" s="186">
        <f t="shared" si="42"/>
        <v>4733.8499999999985</v>
      </c>
      <c r="L39" s="186">
        <v>11346.64</v>
      </c>
      <c r="M39" s="186">
        <f t="shared" si="33"/>
        <v>6702</v>
      </c>
      <c r="N39" s="186">
        <f t="shared" si="34"/>
        <v>4644.6399999999994</v>
      </c>
      <c r="O39" s="186">
        <f t="shared" si="35"/>
        <v>11346.64</v>
      </c>
      <c r="P39" s="186">
        <f t="shared" si="35"/>
        <v>6702</v>
      </c>
      <c r="Q39" s="186">
        <f t="shared" si="36"/>
        <v>4644.6399999999994</v>
      </c>
      <c r="R39" s="186">
        <f t="shared" si="37"/>
        <v>11346.64</v>
      </c>
      <c r="S39" s="186">
        <f t="shared" si="37"/>
        <v>6702</v>
      </c>
      <c r="T39" s="186">
        <f t="shared" si="38"/>
        <v>4644.6399999999994</v>
      </c>
      <c r="W39"/>
    </row>
    <row r="40" spans="1:23" x14ac:dyDescent="0.2">
      <c r="A40" s="210" t="s">
        <v>80</v>
      </c>
      <c r="B40" s="11" t="s">
        <v>78</v>
      </c>
      <c r="C40" s="186">
        <f t="shared" si="28"/>
        <v>11807.65</v>
      </c>
      <c r="D40" s="186">
        <f t="shared" si="29"/>
        <v>7733</v>
      </c>
      <c r="E40" s="186">
        <f t="shared" si="39"/>
        <v>4074.6499999999996</v>
      </c>
      <c r="F40" s="186">
        <f t="shared" si="43"/>
        <v>11807.65</v>
      </c>
      <c r="G40" s="186">
        <f t="shared" si="44"/>
        <v>7733</v>
      </c>
      <c r="H40" s="186">
        <f t="shared" si="40"/>
        <v>4074.6499999999996</v>
      </c>
      <c r="I40" s="186">
        <f>11807.8+38.4+0.15</f>
        <v>11846.349999999999</v>
      </c>
      <c r="J40" s="186">
        <f t="shared" si="41"/>
        <v>7733</v>
      </c>
      <c r="K40" s="186">
        <f t="shared" si="42"/>
        <v>4113.3499999999985</v>
      </c>
      <c r="L40" s="186">
        <v>11807.8</v>
      </c>
      <c r="M40" s="186">
        <f t="shared" si="33"/>
        <v>7733</v>
      </c>
      <c r="N40" s="186">
        <f t="shared" si="34"/>
        <v>4074.7999999999993</v>
      </c>
      <c r="O40" s="186">
        <f t="shared" si="35"/>
        <v>11807.8</v>
      </c>
      <c r="P40" s="186">
        <f t="shared" si="35"/>
        <v>7733</v>
      </c>
      <c r="Q40" s="186">
        <f t="shared" si="36"/>
        <v>4074.7999999999993</v>
      </c>
      <c r="R40" s="186">
        <f t="shared" si="37"/>
        <v>11807.8</v>
      </c>
      <c r="S40" s="186">
        <f t="shared" si="37"/>
        <v>7733</v>
      </c>
      <c r="T40" s="186">
        <f t="shared" si="38"/>
        <v>4074.7999999999993</v>
      </c>
      <c r="W40"/>
    </row>
    <row r="41" spans="1:23" x14ac:dyDescent="0.2">
      <c r="A41" s="210" t="str">
        <f>A15</f>
        <v>Nafisi</v>
      </c>
      <c r="B41" s="11" t="s">
        <v>76</v>
      </c>
      <c r="C41" s="186">
        <f t="shared" si="28"/>
        <v>14935.66</v>
      </c>
      <c r="D41" s="186">
        <f t="shared" si="29"/>
        <v>9687</v>
      </c>
      <c r="E41" s="186">
        <f t="shared" si="39"/>
        <v>5248.66</v>
      </c>
      <c r="F41" s="186">
        <f t="shared" si="43"/>
        <v>14935.66</v>
      </c>
      <c r="G41" s="186">
        <f t="shared" si="44"/>
        <v>9687</v>
      </c>
      <c r="H41" s="186">
        <f t="shared" si="40"/>
        <v>5248.66</v>
      </c>
      <c r="I41" s="186">
        <f>14935.81+0.3</f>
        <v>14936.109999999999</v>
      </c>
      <c r="J41" s="186">
        <f t="shared" si="41"/>
        <v>9687</v>
      </c>
      <c r="K41" s="186">
        <f t="shared" si="42"/>
        <v>5249.1099999999988</v>
      </c>
      <c r="L41" s="186">
        <v>14935.81</v>
      </c>
      <c r="M41" s="186">
        <f t="shared" si="33"/>
        <v>9687</v>
      </c>
      <c r="N41" s="186">
        <f t="shared" si="34"/>
        <v>5248.8099999999995</v>
      </c>
      <c r="O41" s="186">
        <f t="shared" si="35"/>
        <v>14935.81</v>
      </c>
      <c r="P41" s="186">
        <f t="shared" si="35"/>
        <v>9687</v>
      </c>
      <c r="Q41" s="186">
        <f t="shared" si="36"/>
        <v>5248.8099999999995</v>
      </c>
      <c r="R41" s="186">
        <f t="shared" si="37"/>
        <v>14935.81</v>
      </c>
      <c r="S41" s="186">
        <f t="shared" si="37"/>
        <v>9687</v>
      </c>
      <c r="T41" s="186">
        <f t="shared" si="38"/>
        <v>5248.8099999999995</v>
      </c>
      <c r="W41"/>
    </row>
    <row r="42" spans="1:23" x14ac:dyDescent="0.2">
      <c r="A42" s="210" t="str">
        <f>A16</f>
        <v>Oliver</v>
      </c>
      <c r="B42" s="11" t="s">
        <v>78</v>
      </c>
      <c r="C42" s="186">
        <f t="shared" si="28"/>
        <v>7076.92</v>
      </c>
      <c r="D42" s="186">
        <f t="shared" si="29"/>
        <v>3838</v>
      </c>
      <c r="E42" s="186">
        <f t="shared" si="39"/>
        <v>3238.92</v>
      </c>
      <c r="F42" s="186">
        <f t="shared" si="43"/>
        <v>7076.92</v>
      </c>
      <c r="G42" s="186">
        <f t="shared" si="44"/>
        <v>3838</v>
      </c>
      <c r="H42" s="186">
        <f t="shared" si="40"/>
        <v>3238.92</v>
      </c>
      <c r="I42" s="186">
        <f>7077.07+0.3</f>
        <v>7077.37</v>
      </c>
      <c r="J42" s="186">
        <f t="shared" si="41"/>
        <v>3838</v>
      </c>
      <c r="K42" s="186">
        <f t="shared" si="42"/>
        <v>3239.37</v>
      </c>
      <c r="L42" s="186">
        <v>7077.07</v>
      </c>
      <c r="M42" s="186">
        <f t="shared" si="33"/>
        <v>3838</v>
      </c>
      <c r="N42" s="186">
        <f t="shared" si="34"/>
        <v>3239.0699999999997</v>
      </c>
      <c r="O42" s="186">
        <f t="shared" si="35"/>
        <v>7077.07</v>
      </c>
      <c r="P42" s="186">
        <f t="shared" si="35"/>
        <v>3838</v>
      </c>
      <c r="Q42" s="186">
        <f t="shared" si="36"/>
        <v>3239.0699999999997</v>
      </c>
      <c r="R42" s="186">
        <f t="shared" si="37"/>
        <v>7077.07</v>
      </c>
      <c r="S42" s="186">
        <f t="shared" si="37"/>
        <v>3838</v>
      </c>
      <c r="T42" s="186">
        <f t="shared" si="38"/>
        <v>3239.0699999999997</v>
      </c>
      <c r="W42"/>
    </row>
    <row r="43" spans="1:23" x14ac:dyDescent="0.2">
      <c r="A43" s="210" t="s">
        <v>176</v>
      </c>
      <c r="B43" s="11" t="s">
        <v>79</v>
      </c>
      <c r="C43" s="186">
        <f t="shared" si="28"/>
        <v>12216.36</v>
      </c>
      <c r="D43" s="186">
        <f t="shared" si="29"/>
        <v>7676</v>
      </c>
      <c r="E43" s="186">
        <f t="shared" si="39"/>
        <v>4540.3600000000006</v>
      </c>
      <c r="F43" s="186">
        <f t="shared" si="43"/>
        <v>12216.36</v>
      </c>
      <c r="G43" s="186">
        <f t="shared" si="44"/>
        <v>7676</v>
      </c>
      <c r="H43" s="186">
        <f t="shared" si="40"/>
        <v>4540.3600000000006</v>
      </c>
      <c r="I43" s="186">
        <f>12216.51+0.3</f>
        <v>12216.81</v>
      </c>
      <c r="J43" s="186">
        <f t="shared" si="41"/>
        <v>7676</v>
      </c>
      <c r="K43" s="186">
        <f t="shared" si="42"/>
        <v>4540.8099999999995</v>
      </c>
      <c r="L43" s="186">
        <v>0</v>
      </c>
      <c r="M43" s="186">
        <v>0</v>
      </c>
      <c r="N43" s="186">
        <f t="shared" si="34"/>
        <v>0</v>
      </c>
      <c r="O43" s="186">
        <f t="shared" si="35"/>
        <v>0</v>
      </c>
      <c r="P43" s="186">
        <f t="shared" si="35"/>
        <v>0</v>
      </c>
      <c r="Q43" s="186">
        <f t="shared" si="36"/>
        <v>0</v>
      </c>
      <c r="R43" s="186">
        <f t="shared" si="37"/>
        <v>0</v>
      </c>
      <c r="S43" s="186">
        <f t="shared" si="37"/>
        <v>0</v>
      </c>
      <c r="T43" s="186">
        <f t="shared" si="38"/>
        <v>0</v>
      </c>
      <c r="W43"/>
    </row>
    <row r="44" spans="1:23" x14ac:dyDescent="0.2">
      <c r="A44" s="210" t="str">
        <f t="shared" ref="A44:A51" si="45">A18</f>
        <v>Prodanov</v>
      </c>
      <c r="B44" s="11" t="s">
        <v>78</v>
      </c>
      <c r="C44" s="186">
        <f t="shared" si="28"/>
        <v>12234.35</v>
      </c>
      <c r="D44" s="186">
        <f t="shared" si="29"/>
        <v>7676</v>
      </c>
      <c r="E44" s="186">
        <f t="shared" si="39"/>
        <v>4558.3500000000004</v>
      </c>
      <c r="F44" s="186">
        <f t="shared" si="43"/>
        <v>12234.35</v>
      </c>
      <c r="G44" s="186">
        <f t="shared" si="44"/>
        <v>7676</v>
      </c>
      <c r="H44" s="186">
        <f t="shared" si="40"/>
        <v>4558.3500000000004</v>
      </c>
      <c r="I44" s="186">
        <f>12234.5+0.3</f>
        <v>12234.8</v>
      </c>
      <c r="J44" s="186">
        <f t="shared" si="41"/>
        <v>7676</v>
      </c>
      <c r="K44" s="186">
        <f t="shared" si="42"/>
        <v>4558.7999999999993</v>
      </c>
      <c r="L44" s="186">
        <v>12234.5</v>
      </c>
      <c r="M44" s="186">
        <f t="shared" si="33"/>
        <v>7676</v>
      </c>
      <c r="N44" s="186">
        <f t="shared" si="34"/>
        <v>4558.5</v>
      </c>
      <c r="O44" s="186">
        <f t="shared" si="35"/>
        <v>12234.5</v>
      </c>
      <c r="P44" s="186">
        <f t="shared" si="35"/>
        <v>7676</v>
      </c>
      <c r="Q44" s="186">
        <f t="shared" si="36"/>
        <v>4558.5</v>
      </c>
      <c r="R44" s="186">
        <f t="shared" si="37"/>
        <v>12234.5</v>
      </c>
      <c r="S44" s="186">
        <f t="shared" si="37"/>
        <v>7676</v>
      </c>
      <c r="T44" s="186">
        <f t="shared" si="38"/>
        <v>4558.5</v>
      </c>
      <c r="W44"/>
    </row>
    <row r="45" spans="1:23" x14ac:dyDescent="0.2">
      <c r="A45" s="210" t="str">
        <f t="shared" si="45"/>
        <v>Saghri</v>
      </c>
      <c r="B45" s="11" t="s">
        <v>77</v>
      </c>
      <c r="C45" s="186">
        <f t="shared" si="28"/>
        <v>13630.67</v>
      </c>
      <c r="D45" s="186">
        <f t="shared" si="29"/>
        <v>8708</v>
      </c>
      <c r="E45" s="186">
        <f t="shared" si="39"/>
        <v>4922.67</v>
      </c>
      <c r="F45" s="186">
        <f t="shared" si="43"/>
        <v>13630.67</v>
      </c>
      <c r="G45" s="186">
        <f t="shared" si="44"/>
        <v>8708</v>
      </c>
      <c r="H45" s="186">
        <f t="shared" si="40"/>
        <v>4922.67</v>
      </c>
      <c r="I45" s="186">
        <f>13630.82+0.3</f>
        <v>13631.119999999999</v>
      </c>
      <c r="J45" s="186">
        <f t="shared" si="41"/>
        <v>8708</v>
      </c>
      <c r="K45" s="186">
        <f t="shared" si="42"/>
        <v>4923.119999999999</v>
      </c>
      <c r="L45" s="186">
        <v>13630.82</v>
      </c>
      <c r="M45" s="186">
        <f t="shared" si="33"/>
        <v>8708</v>
      </c>
      <c r="N45" s="186">
        <f t="shared" si="34"/>
        <v>4922.82</v>
      </c>
      <c r="O45" s="186">
        <f t="shared" si="35"/>
        <v>13630.82</v>
      </c>
      <c r="P45" s="186">
        <f t="shared" si="35"/>
        <v>8708</v>
      </c>
      <c r="Q45" s="186">
        <f t="shared" si="36"/>
        <v>4922.82</v>
      </c>
      <c r="R45" s="186">
        <f t="shared" si="37"/>
        <v>13630.82</v>
      </c>
      <c r="S45" s="186">
        <f t="shared" si="37"/>
        <v>8708</v>
      </c>
      <c r="T45" s="186">
        <f t="shared" si="38"/>
        <v>4922.82</v>
      </c>
      <c r="W45"/>
    </row>
    <row r="46" spans="1:23" x14ac:dyDescent="0.2">
      <c r="A46" s="210" t="str">
        <f t="shared" si="45"/>
        <v>Shaban</v>
      </c>
      <c r="B46" s="11" t="s">
        <v>76</v>
      </c>
      <c r="C46" s="186">
        <f t="shared" si="28"/>
        <v>14180.97</v>
      </c>
      <c r="D46" s="186">
        <f t="shared" si="29"/>
        <v>9464</v>
      </c>
      <c r="E46" s="186">
        <f t="shared" si="39"/>
        <v>4716.9699999999993</v>
      </c>
      <c r="F46" s="186">
        <f t="shared" si="43"/>
        <v>14180.97</v>
      </c>
      <c r="G46" s="186">
        <f t="shared" si="44"/>
        <v>9464</v>
      </c>
      <c r="H46" s="186">
        <f t="shared" si="40"/>
        <v>4716.9699999999993</v>
      </c>
      <c r="I46" s="186">
        <f>14181.12+0.3</f>
        <v>14181.42</v>
      </c>
      <c r="J46" s="186">
        <f t="shared" si="41"/>
        <v>9464</v>
      </c>
      <c r="K46" s="186">
        <f t="shared" si="42"/>
        <v>4717.42</v>
      </c>
      <c r="L46" s="186">
        <v>14181.12</v>
      </c>
      <c r="M46" s="186">
        <f t="shared" ref="M46:M51" si="46">J46</f>
        <v>9464</v>
      </c>
      <c r="N46" s="186">
        <f t="shared" si="34"/>
        <v>4717.1200000000008</v>
      </c>
      <c r="O46" s="186">
        <f t="shared" ref="O46:O51" si="47">L46</f>
        <v>14181.12</v>
      </c>
      <c r="P46" s="186">
        <f t="shared" ref="P46:P51" si="48">M46</f>
        <v>9464</v>
      </c>
      <c r="Q46" s="186">
        <f t="shared" si="36"/>
        <v>4717.1200000000008</v>
      </c>
      <c r="R46" s="186">
        <f t="shared" ref="R46:R51" si="49">O46</f>
        <v>14181.12</v>
      </c>
      <c r="S46" s="186">
        <f t="shared" ref="S46:S51" si="50">P46</f>
        <v>9464</v>
      </c>
      <c r="T46" s="186">
        <f t="shared" si="38"/>
        <v>4717.1200000000008</v>
      </c>
      <c r="W46"/>
    </row>
    <row r="47" spans="1:23" x14ac:dyDescent="0.2">
      <c r="A47" s="210" t="str">
        <f t="shared" si="45"/>
        <v>Slivovsky</v>
      </c>
      <c r="B47" s="11" t="s">
        <v>77</v>
      </c>
      <c r="C47" s="186">
        <f t="shared" si="28"/>
        <v>12405.14</v>
      </c>
      <c r="D47" s="186">
        <f t="shared" si="29"/>
        <v>8667</v>
      </c>
      <c r="E47" s="186">
        <f t="shared" si="39"/>
        <v>3738.1399999999994</v>
      </c>
      <c r="F47" s="186">
        <f t="shared" si="43"/>
        <v>12405.14</v>
      </c>
      <c r="G47" s="186">
        <f t="shared" si="44"/>
        <v>8667</v>
      </c>
      <c r="H47" s="186">
        <f t="shared" si="40"/>
        <v>3738.1399999999994</v>
      </c>
      <c r="I47" s="186">
        <f>12405.29+0.3</f>
        <v>12405.59</v>
      </c>
      <c r="J47" s="186">
        <f t="shared" si="41"/>
        <v>8667</v>
      </c>
      <c r="K47" s="186">
        <f t="shared" si="42"/>
        <v>3738.59</v>
      </c>
      <c r="L47" s="186">
        <v>12405.29</v>
      </c>
      <c r="M47" s="186">
        <f t="shared" si="46"/>
        <v>8667</v>
      </c>
      <c r="N47" s="186">
        <f t="shared" si="34"/>
        <v>3738.2900000000009</v>
      </c>
      <c r="O47" s="186">
        <f t="shared" si="47"/>
        <v>12405.29</v>
      </c>
      <c r="P47" s="186">
        <f t="shared" si="48"/>
        <v>8667</v>
      </c>
      <c r="Q47" s="186">
        <f t="shared" si="36"/>
        <v>3738.2900000000009</v>
      </c>
      <c r="R47" s="186">
        <f t="shared" si="49"/>
        <v>12405.29</v>
      </c>
      <c r="S47" s="186">
        <f t="shared" si="50"/>
        <v>8667</v>
      </c>
      <c r="T47" s="186">
        <f t="shared" si="38"/>
        <v>3738.2900000000009</v>
      </c>
      <c r="W47"/>
    </row>
    <row r="48" spans="1:23" x14ac:dyDescent="0.2">
      <c r="A48" s="210" t="str">
        <f t="shared" si="45"/>
        <v>Smilkstein</v>
      </c>
      <c r="B48" s="11" t="s">
        <v>77</v>
      </c>
      <c r="C48" s="186">
        <f t="shared" si="28"/>
        <v>11090.6</v>
      </c>
      <c r="D48" s="186">
        <f t="shared" si="29"/>
        <v>7676</v>
      </c>
      <c r="E48" s="186">
        <f t="shared" si="39"/>
        <v>3414.6000000000004</v>
      </c>
      <c r="F48" s="186">
        <f t="shared" si="43"/>
        <v>11090.6</v>
      </c>
      <c r="G48" s="186">
        <f t="shared" si="44"/>
        <v>7676</v>
      </c>
      <c r="H48" s="186">
        <f t="shared" si="40"/>
        <v>3414.6000000000004</v>
      </c>
      <c r="I48" s="186">
        <f>11090.75+0.3</f>
        <v>11091.05</v>
      </c>
      <c r="J48" s="186">
        <f t="shared" si="41"/>
        <v>7676</v>
      </c>
      <c r="K48" s="186">
        <f t="shared" si="42"/>
        <v>3415.0499999999993</v>
      </c>
      <c r="L48" s="186">
        <v>11090.75</v>
      </c>
      <c r="M48" s="186">
        <f t="shared" si="46"/>
        <v>7676</v>
      </c>
      <c r="N48" s="186">
        <f t="shared" si="34"/>
        <v>3414.75</v>
      </c>
      <c r="O48" s="186">
        <f t="shared" si="47"/>
        <v>11090.75</v>
      </c>
      <c r="P48" s="186">
        <f t="shared" si="48"/>
        <v>7676</v>
      </c>
      <c r="Q48" s="186">
        <f t="shared" si="36"/>
        <v>3414.75</v>
      </c>
      <c r="R48" s="186">
        <f t="shared" si="49"/>
        <v>11090.75</v>
      </c>
      <c r="S48" s="186">
        <f t="shared" si="50"/>
        <v>7676</v>
      </c>
      <c r="T48" s="186">
        <f t="shared" si="38"/>
        <v>3414.75</v>
      </c>
      <c r="W48"/>
    </row>
    <row r="49" spans="1:23" x14ac:dyDescent="0.2">
      <c r="A49" s="210" t="str">
        <f t="shared" si="45"/>
        <v>Taufik</v>
      </c>
      <c r="B49" s="11" t="s">
        <v>77</v>
      </c>
      <c r="C49" s="186">
        <f t="shared" si="28"/>
        <v>13603.14</v>
      </c>
      <c r="D49" s="186">
        <f t="shared" si="29"/>
        <v>8708</v>
      </c>
      <c r="E49" s="186">
        <f t="shared" si="39"/>
        <v>4895.1399999999994</v>
      </c>
      <c r="F49" s="186">
        <f>R23+306</f>
        <v>13909.14</v>
      </c>
      <c r="G49" s="186">
        <f t="shared" si="44"/>
        <v>8708</v>
      </c>
      <c r="H49" s="186">
        <f t="shared" si="40"/>
        <v>5201.1399999999994</v>
      </c>
      <c r="I49" s="186">
        <f>13603.29+0.3</f>
        <v>13603.59</v>
      </c>
      <c r="J49" s="186">
        <f t="shared" si="41"/>
        <v>8708</v>
      </c>
      <c r="K49" s="186">
        <f t="shared" si="42"/>
        <v>4895.59</v>
      </c>
      <c r="L49" s="186">
        <v>13603.29</v>
      </c>
      <c r="M49" s="186">
        <f t="shared" si="46"/>
        <v>8708</v>
      </c>
      <c r="N49" s="186">
        <f t="shared" si="34"/>
        <v>4895.2900000000009</v>
      </c>
      <c r="O49" s="186">
        <f t="shared" si="47"/>
        <v>13603.29</v>
      </c>
      <c r="P49" s="186">
        <f t="shared" si="48"/>
        <v>8708</v>
      </c>
      <c r="Q49" s="186">
        <f t="shared" si="36"/>
        <v>4895.2900000000009</v>
      </c>
      <c r="R49" s="186">
        <f t="shared" si="49"/>
        <v>13603.29</v>
      </c>
      <c r="S49" s="186">
        <f t="shared" si="50"/>
        <v>8708</v>
      </c>
      <c r="T49" s="186">
        <f t="shared" si="38"/>
        <v>4895.2900000000009</v>
      </c>
      <c r="W49"/>
    </row>
    <row r="50" spans="1:23" x14ac:dyDescent="0.2">
      <c r="A50" s="210" t="str">
        <f t="shared" si="45"/>
        <v>Yu</v>
      </c>
      <c r="B50" s="11" t="s">
        <v>77</v>
      </c>
      <c r="C50" s="186">
        <f t="shared" si="28"/>
        <v>13157.03</v>
      </c>
      <c r="D50" s="186">
        <f t="shared" si="29"/>
        <v>8708</v>
      </c>
      <c r="E50" s="186">
        <f t="shared" si="39"/>
        <v>4449.0300000000007</v>
      </c>
      <c r="F50" s="186">
        <f t="shared" si="43"/>
        <v>13157.03</v>
      </c>
      <c r="G50" s="186">
        <f t="shared" si="44"/>
        <v>8708</v>
      </c>
      <c r="H50" s="186">
        <f t="shared" si="40"/>
        <v>4449.0300000000007</v>
      </c>
      <c r="I50" s="186">
        <f>13157.18+0.3</f>
        <v>13157.48</v>
      </c>
      <c r="J50" s="186">
        <f t="shared" si="41"/>
        <v>8708</v>
      </c>
      <c r="K50" s="186">
        <f t="shared" si="42"/>
        <v>4449.4799999999996</v>
      </c>
      <c r="L50" s="186">
        <v>13157.18</v>
      </c>
      <c r="M50" s="186">
        <f t="shared" si="46"/>
        <v>8708</v>
      </c>
      <c r="N50" s="186">
        <f t="shared" si="34"/>
        <v>4449.18</v>
      </c>
      <c r="O50" s="186">
        <f t="shared" si="47"/>
        <v>13157.18</v>
      </c>
      <c r="P50" s="186">
        <f t="shared" si="48"/>
        <v>8708</v>
      </c>
      <c r="Q50" s="186">
        <f t="shared" si="36"/>
        <v>4449.18</v>
      </c>
      <c r="R50" s="186">
        <f t="shared" si="49"/>
        <v>13157.18</v>
      </c>
      <c r="S50" s="186">
        <f t="shared" si="50"/>
        <v>8708</v>
      </c>
      <c r="T50" s="186">
        <f t="shared" si="38"/>
        <v>4449.18</v>
      </c>
    </row>
    <row r="51" spans="1:23" x14ac:dyDescent="0.2">
      <c r="A51" s="210" t="str">
        <f t="shared" si="45"/>
        <v>Zhang</v>
      </c>
      <c r="B51" s="11" t="s">
        <v>78</v>
      </c>
      <c r="C51" s="186">
        <f t="shared" si="28"/>
        <v>13568.83</v>
      </c>
      <c r="D51" s="186">
        <f t="shared" si="29"/>
        <v>8667</v>
      </c>
      <c r="E51" s="186">
        <f t="shared" si="39"/>
        <v>4901.83</v>
      </c>
      <c r="F51" s="186">
        <f t="shared" si="43"/>
        <v>13568.83</v>
      </c>
      <c r="G51" s="186">
        <f t="shared" si="44"/>
        <v>8667</v>
      </c>
      <c r="H51" s="186">
        <f t="shared" si="40"/>
        <v>4901.83</v>
      </c>
      <c r="I51" s="186">
        <f>13568.98+0.3</f>
        <v>13569.279999999999</v>
      </c>
      <c r="J51" s="186">
        <f t="shared" si="41"/>
        <v>8667</v>
      </c>
      <c r="K51" s="186">
        <f t="shared" si="42"/>
        <v>4902.2799999999988</v>
      </c>
      <c r="L51" s="186">
        <v>13568.98</v>
      </c>
      <c r="M51" s="186">
        <f t="shared" si="46"/>
        <v>8667</v>
      </c>
      <c r="N51" s="186">
        <f t="shared" si="34"/>
        <v>4901.9799999999996</v>
      </c>
      <c r="O51" s="186">
        <f t="shared" si="47"/>
        <v>13568.98</v>
      </c>
      <c r="P51" s="186">
        <f t="shared" si="48"/>
        <v>8667</v>
      </c>
      <c r="Q51" s="186">
        <f t="shared" si="36"/>
        <v>4901.9799999999996</v>
      </c>
      <c r="R51" s="186">
        <f t="shared" si="49"/>
        <v>13568.98</v>
      </c>
      <c r="S51" s="186">
        <f t="shared" si="50"/>
        <v>8667</v>
      </c>
      <c r="T51" s="186">
        <f t="shared" si="38"/>
        <v>4901.9799999999996</v>
      </c>
    </row>
    <row r="52" spans="1:23" x14ac:dyDescent="0.2">
      <c r="A52" s="213" t="s">
        <v>34</v>
      </c>
      <c r="B52" s="109"/>
      <c r="C52" s="53">
        <f>SUM(C29:C51)</f>
        <v>261318.06</v>
      </c>
      <c r="D52" s="53">
        <f t="shared" ref="D52:T52" si="51">SUM(D29:D51)</f>
        <v>168570.5</v>
      </c>
      <c r="E52" s="53">
        <f t="shared" si="51"/>
        <v>92747.560000000012</v>
      </c>
      <c r="F52" s="53">
        <f t="shared" si="51"/>
        <v>260876.38</v>
      </c>
      <c r="G52" s="53">
        <f t="shared" si="51"/>
        <v>168570.5</v>
      </c>
      <c r="H52" s="53">
        <f t="shared" si="51"/>
        <v>92305.88</v>
      </c>
      <c r="I52" s="53">
        <f>SUM(I29:I51)</f>
        <v>260992.36999999997</v>
      </c>
      <c r="J52" s="53">
        <f t="shared" si="51"/>
        <v>168570.5</v>
      </c>
      <c r="K52" s="53">
        <f t="shared" si="51"/>
        <v>92421.869999999966</v>
      </c>
      <c r="L52" s="53">
        <f t="shared" si="51"/>
        <v>262886.29000000004</v>
      </c>
      <c r="M52" s="53">
        <f t="shared" si="51"/>
        <v>170066.5</v>
      </c>
      <c r="N52" s="53">
        <f t="shared" si="51"/>
        <v>92819.79</v>
      </c>
      <c r="O52" s="53">
        <f t="shared" si="51"/>
        <v>262886.29000000004</v>
      </c>
      <c r="P52" s="53">
        <f t="shared" si="51"/>
        <v>170066.5</v>
      </c>
      <c r="Q52" s="53">
        <f t="shared" si="51"/>
        <v>92819.79</v>
      </c>
      <c r="R52" s="53">
        <f t="shared" si="51"/>
        <v>262886.29000000004</v>
      </c>
      <c r="S52" s="53">
        <f t="shared" si="51"/>
        <v>170066.5</v>
      </c>
      <c r="T52" s="53">
        <f t="shared" si="51"/>
        <v>92819.79</v>
      </c>
    </row>
    <row r="53" spans="1:23" x14ac:dyDescent="0.2">
      <c r="A53" s="11"/>
      <c r="B53" s="11"/>
      <c r="C53" s="375" t="s">
        <v>40</v>
      </c>
      <c r="D53" s="375"/>
      <c r="E53" s="375"/>
      <c r="F53" s="376">
        <f>D52+G52+J52+M52+P52+S52+S26+P26+M26+J26+G26+D26</f>
        <v>2012162</v>
      </c>
      <c r="G53" s="375"/>
      <c r="H53"/>
      <c r="I53" s="202"/>
      <c r="J53"/>
      <c r="K53"/>
      <c r="L53" s="200"/>
    </row>
    <row r="54" spans="1:23" x14ac:dyDescent="0.2">
      <c r="A54" s="11"/>
      <c r="B54" s="11"/>
      <c r="C54" s="375" t="s">
        <v>41</v>
      </c>
      <c r="D54" s="375"/>
      <c r="E54" s="375"/>
      <c r="F54" s="376">
        <f>E26+H26+K26+N26+Q26+T26+T52+Q52+N52+K52+H52+E52</f>
        <v>1101998.9500000002</v>
      </c>
      <c r="G54" s="375"/>
      <c r="H54"/>
      <c r="I54" s="202"/>
      <c r="J54"/>
      <c r="K54"/>
      <c r="L54" s="200"/>
      <c r="R54"/>
      <c r="S54"/>
      <c r="T54"/>
    </row>
    <row r="55" spans="1:23" x14ac:dyDescent="0.2">
      <c r="A55" s="11"/>
      <c r="B55" s="11"/>
      <c r="C55" s="370" t="s">
        <v>42</v>
      </c>
      <c r="D55" s="371"/>
      <c r="E55" s="372"/>
      <c r="F55" s="373">
        <f>SUM(F53:G54)</f>
        <v>3114160.95</v>
      </c>
      <c r="G55" s="374"/>
      <c r="H55"/>
      <c r="I55" s="204"/>
      <c r="J55" s="203"/>
      <c r="K55" s="201"/>
      <c r="L55" s="200"/>
    </row>
    <row r="56" spans="1:23" x14ac:dyDescent="0.2">
      <c r="A56"/>
      <c r="B56"/>
      <c r="C56" s="55"/>
      <c r="D56"/>
      <c r="E56"/>
      <c r="F56"/>
      <c r="G56"/>
      <c r="H56"/>
    </row>
    <row r="57" spans="1:23" x14ac:dyDescent="0.2">
      <c r="A57"/>
      <c r="B57"/>
      <c r="C57"/>
      <c r="D57"/>
      <c r="E57"/>
      <c r="F57"/>
      <c r="G57"/>
      <c r="H57"/>
    </row>
    <row r="58" spans="1:23" x14ac:dyDescent="0.2">
      <c r="A58"/>
      <c r="B58"/>
      <c r="G58"/>
      <c r="H58"/>
    </row>
    <row r="59" spans="1:23" s="3" customFormat="1" x14ac:dyDescent="0.2">
      <c r="A59" s="11"/>
      <c r="B59" s="1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/>
      <c r="V59"/>
    </row>
    <row r="60" spans="1:23" x14ac:dyDescent="0.2">
      <c r="A60" s="11"/>
      <c r="B60" s="11"/>
    </row>
    <row r="61" spans="1:23" x14ac:dyDescent="0.2">
      <c r="A61" s="11"/>
      <c r="B61" s="11"/>
    </row>
    <row r="62" spans="1:23" x14ac:dyDescent="0.2">
      <c r="A62" s="11"/>
      <c r="B62" s="11"/>
    </row>
    <row r="63" spans="1:23" x14ac:dyDescent="0.2">
      <c r="A63" s="11"/>
      <c r="B63" s="11"/>
    </row>
    <row r="64" spans="1:23" x14ac:dyDescent="0.2">
      <c r="A64" s="11"/>
      <c r="B64" s="11"/>
    </row>
    <row r="65" spans="1:2" x14ac:dyDescent="0.2">
      <c r="A65" s="11"/>
      <c r="B65" s="11"/>
    </row>
    <row r="66" spans="1:2" x14ac:dyDescent="0.2">
      <c r="A66" s="11"/>
      <c r="B66" s="11"/>
    </row>
    <row r="67" spans="1:2" x14ac:dyDescent="0.2">
      <c r="A67" s="11"/>
      <c r="B67" s="11"/>
    </row>
    <row r="68" spans="1:2" x14ac:dyDescent="0.2">
      <c r="A68" s="11"/>
      <c r="B68" s="11"/>
    </row>
    <row r="69" spans="1:2" x14ac:dyDescent="0.2">
      <c r="A69" s="11"/>
      <c r="B69" s="11"/>
    </row>
    <row r="70" spans="1:2" x14ac:dyDescent="0.2">
      <c r="A70" s="11"/>
      <c r="B70" s="11"/>
    </row>
    <row r="71" spans="1:2" x14ac:dyDescent="0.2">
      <c r="A71" s="11"/>
      <c r="B71" s="11"/>
    </row>
    <row r="72" spans="1:2" x14ac:dyDescent="0.2">
      <c r="A72" s="11"/>
      <c r="B72" s="11"/>
    </row>
    <row r="73" spans="1:2" x14ac:dyDescent="0.2">
      <c r="A73" s="11"/>
      <c r="B73" s="11"/>
    </row>
    <row r="74" spans="1:2" x14ac:dyDescent="0.2">
      <c r="A74" s="11"/>
      <c r="B74" s="11"/>
    </row>
    <row r="75" spans="1:2" x14ac:dyDescent="0.2">
      <c r="A75" s="11"/>
      <c r="B75" s="11"/>
    </row>
    <row r="76" spans="1:2" x14ac:dyDescent="0.2">
      <c r="A76" s="11"/>
      <c r="B76" s="11"/>
    </row>
    <row r="77" spans="1:2" x14ac:dyDescent="0.2">
      <c r="A77" s="11"/>
      <c r="B77" s="11"/>
    </row>
    <row r="78" spans="1:2" x14ac:dyDescent="0.2">
      <c r="A78" s="11"/>
      <c r="B78" s="11"/>
    </row>
    <row r="79" spans="1:2" x14ac:dyDescent="0.2">
      <c r="A79" s="11"/>
      <c r="B79" s="11"/>
    </row>
    <row r="80" spans="1:2" x14ac:dyDescent="0.2">
      <c r="A80" s="11"/>
      <c r="B80" s="11"/>
    </row>
    <row r="81" spans="1:2" x14ac:dyDescent="0.2">
      <c r="A81" s="11"/>
      <c r="B81" s="11"/>
    </row>
    <row r="82" spans="1:2" x14ac:dyDescent="0.2">
      <c r="A82" s="11"/>
      <c r="B82" s="11"/>
    </row>
    <row r="83" spans="1:2" x14ac:dyDescent="0.2">
      <c r="A83" s="11"/>
      <c r="B83" s="11"/>
    </row>
    <row r="84" spans="1:2" x14ac:dyDescent="0.2">
      <c r="A84" s="11"/>
      <c r="B84" s="11"/>
    </row>
    <row r="85" spans="1:2" x14ac:dyDescent="0.2">
      <c r="A85" s="11"/>
      <c r="B85" s="11"/>
    </row>
    <row r="86" spans="1:2" x14ac:dyDescent="0.2">
      <c r="A86" s="11"/>
      <c r="B86" s="11"/>
    </row>
    <row r="87" spans="1:2" x14ac:dyDescent="0.2">
      <c r="A87" s="11"/>
      <c r="B87" s="11"/>
    </row>
    <row r="88" spans="1:2" x14ac:dyDescent="0.2">
      <c r="A88" s="11"/>
      <c r="B88" s="11"/>
    </row>
    <row r="89" spans="1:2" x14ac:dyDescent="0.2">
      <c r="A89" s="11"/>
      <c r="B89" s="11"/>
    </row>
    <row r="90" spans="1:2" x14ac:dyDescent="0.2">
      <c r="A90" s="11"/>
      <c r="B90" s="11"/>
    </row>
  </sheetData>
  <mergeCells count="18">
    <mergeCell ref="C55:E55"/>
    <mergeCell ref="F55:G55"/>
    <mergeCell ref="C53:E53"/>
    <mergeCell ref="F53:G53"/>
    <mergeCell ref="C54:E54"/>
    <mergeCell ref="F54:G54"/>
    <mergeCell ref="I27:K27"/>
    <mergeCell ref="L27:N27"/>
    <mergeCell ref="O27:Q27"/>
    <mergeCell ref="R27:T27"/>
    <mergeCell ref="C1:E1"/>
    <mergeCell ref="F1:H1"/>
    <mergeCell ref="I1:K1"/>
    <mergeCell ref="L1:N1"/>
    <mergeCell ref="O1:Q1"/>
    <mergeCell ref="R1:T1"/>
    <mergeCell ref="C27:E27"/>
    <mergeCell ref="F27:H27"/>
  </mergeCells>
  <phoneticPr fontId="19" type="noConversion"/>
  <printOptions horizontalCentered="1" gridLines="1"/>
  <pageMargins left="0" right="0" top="0.75" bottom="0" header="0.3" footer="0.3"/>
  <pageSetup scale="75" orientation="landscape" r:id="rId1"/>
  <headerFooter>
    <oddHeader>&amp;LElectrical Engineering Department&amp;C Budget and Expenditure Projection 2016-17
&amp;R&amp;A</oddHeader>
    <oddFooter>&amp;R&amp;8&amp;D</oddFooter>
  </headerFooter>
  <ignoredErrors>
    <ignoredError sqref="H29 H3:H5 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5" tint="0.39997558519241921"/>
  </sheetPr>
  <dimension ref="A1:S59"/>
  <sheetViews>
    <sheetView tabSelected="1" zoomScaleNormal="100" workbookViewId="0">
      <selection activeCell="G34" sqref="G34"/>
    </sheetView>
  </sheetViews>
  <sheetFormatPr defaultColWidth="9.140625" defaultRowHeight="12" x14ac:dyDescent="0.2"/>
  <cols>
    <col min="1" max="1" width="5.85546875" style="3" customWidth="1"/>
    <col min="2" max="2" width="7.85546875" style="2" customWidth="1"/>
    <col min="3" max="3" width="8.42578125" style="2" customWidth="1"/>
    <col min="4" max="4" width="6.5703125" style="2" customWidth="1"/>
    <col min="5" max="6" width="9.85546875" style="2" bestFit="1" customWidth="1"/>
    <col min="7" max="7" width="9" style="2" customWidth="1"/>
    <col min="8" max="11" width="9.5703125" style="2" bestFit="1" customWidth="1"/>
    <col min="12" max="16" width="7" style="2" customWidth="1"/>
    <col min="17" max="18" width="8.140625" style="2" bestFit="1" customWidth="1"/>
    <col min="19" max="19" width="7" style="2" customWidth="1"/>
    <col min="20" max="16384" width="9.140625" style="2"/>
  </cols>
  <sheetData>
    <row r="1" spans="1:19" s="28" customFormat="1" x14ac:dyDescent="0.2">
      <c r="A1" s="8"/>
      <c r="B1" s="365" t="s">
        <v>6</v>
      </c>
      <c r="C1" s="386"/>
      <c r="D1" s="386"/>
      <c r="E1" s="367" t="s">
        <v>125</v>
      </c>
      <c r="F1" s="367"/>
      <c r="G1" s="367"/>
      <c r="H1" s="367" t="s">
        <v>126</v>
      </c>
      <c r="I1" s="367"/>
      <c r="J1" s="367"/>
      <c r="K1" s="365" t="s">
        <v>127</v>
      </c>
      <c r="L1" s="386"/>
      <c r="M1" s="386"/>
      <c r="N1" s="367" t="s">
        <v>128</v>
      </c>
      <c r="O1" s="367"/>
      <c r="P1" s="367"/>
      <c r="Q1" s="367" t="s">
        <v>129</v>
      </c>
      <c r="R1" s="367"/>
      <c r="S1" s="367"/>
    </row>
    <row r="2" spans="1:19" x14ac:dyDescent="0.2">
      <c r="A2" s="10" t="s">
        <v>39</v>
      </c>
      <c r="B2" s="23" t="s">
        <v>33</v>
      </c>
      <c r="C2" s="23" t="s">
        <v>31</v>
      </c>
      <c r="D2" s="23" t="s">
        <v>32</v>
      </c>
      <c r="E2" s="23" t="s">
        <v>34</v>
      </c>
      <c r="F2" s="23" t="s">
        <v>31</v>
      </c>
      <c r="G2" s="23" t="s">
        <v>32</v>
      </c>
      <c r="H2" s="23" t="s">
        <v>34</v>
      </c>
      <c r="I2" s="23" t="s">
        <v>31</v>
      </c>
      <c r="J2" s="23" t="s">
        <v>32</v>
      </c>
      <c r="K2" s="50" t="s">
        <v>34</v>
      </c>
      <c r="L2" s="50" t="s">
        <v>31</v>
      </c>
      <c r="M2" s="50" t="s">
        <v>32</v>
      </c>
      <c r="N2" s="23" t="s">
        <v>34</v>
      </c>
      <c r="O2" s="23" t="s">
        <v>31</v>
      </c>
      <c r="P2" s="23" t="s">
        <v>32</v>
      </c>
      <c r="Q2" s="23" t="s">
        <v>34</v>
      </c>
      <c r="R2" s="23" t="s">
        <v>31</v>
      </c>
      <c r="S2" s="23" t="s">
        <v>32</v>
      </c>
    </row>
    <row r="3" spans="1:19" x14ac:dyDescent="0.2">
      <c r="A3" s="11" t="s">
        <v>367</v>
      </c>
      <c r="B3" s="18">
        <v>2511.09</v>
      </c>
      <c r="C3" s="18">
        <v>2475.1999999999998</v>
      </c>
      <c r="D3" s="18">
        <f>B3-C3</f>
        <v>35.890000000000327</v>
      </c>
      <c r="E3" s="18">
        <f t="shared" ref="E3:F7" si="0">B3</f>
        <v>2511.09</v>
      </c>
      <c r="F3" s="18">
        <f t="shared" si="0"/>
        <v>2475.1999999999998</v>
      </c>
      <c r="G3" s="18">
        <f t="shared" ref="G3:G7" si="1">E3-F3</f>
        <v>35.890000000000327</v>
      </c>
      <c r="H3" s="18">
        <v>2511.09</v>
      </c>
      <c r="I3" s="18">
        <v>2475.1999999999998</v>
      </c>
      <c r="J3" s="18">
        <f t="shared" ref="J3:J7" si="2">H3-I3</f>
        <v>35.890000000000327</v>
      </c>
      <c r="K3" s="18">
        <v>0</v>
      </c>
      <c r="L3" s="18">
        <v>0</v>
      </c>
      <c r="M3" s="18">
        <v>0</v>
      </c>
      <c r="N3" s="18">
        <v>0</v>
      </c>
      <c r="O3" s="18">
        <v>0</v>
      </c>
      <c r="P3" s="18">
        <f t="shared" ref="P3:P7" si="3">N3-O3</f>
        <v>0</v>
      </c>
      <c r="Q3" s="18">
        <f t="shared" ref="Q3:R6" si="4">N3</f>
        <v>0</v>
      </c>
      <c r="R3" s="18">
        <f t="shared" si="4"/>
        <v>0</v>
      </c>
      <c r="S3" s="18">
        <f t="shared" ref="S3:S5" si="5">Q3-R3</f>
        <v>0</v>
      </c>
    </row>
    <row r="4" spans="1:19" x14ac:dyDescent="0.2">
      <c r="A4" s="11" t="s">
        <v>368</v>
      </c>
      <c r="B4" s="18">
        <v>5989.1</v>
      </c>
      <c r="C4" s="18">
        <v>5903.5</v>
      </c>
      <c r="D4" s="18">
        <f t="shared" ref="D4:D7" si="6">B4-C4</f>
        <v>85.600000000000364</v>
      </c>
      <c r="E4" s="18">
        <f t="shared" si="0"/>
        <v>5989.1</v>
      </c>
      <c r="F4" s="18">
        <f t="shared" si="0"/>
        <v>5903.5</v>
      </c>
      <c r="G4" s="18">
        <f t="shared" si="1"/>
        <v>85.600000000000364</v>
      </c>
      <c r="H4" s="186">
        <v>5989.1</v>
      </c>
      <c r="I4" s="186">
        <v>5903.5</v>
      </c>
      <c r="J4" s="186">
        <f t="shared" si="2"/>
        <v>85.600000000000364</v>
      </c>
      <c r="K4" s="18">
        <v>0</v>
      </c>
      <c r="L4" s="18">
        <v>0</v>
      </c>
      <c r="M4" s="18">
        <f t="shared" ref="M4:M6" si="7">K4-L4</f>
        <v>0</v>
      </c>
      <c r="N4" s="18">
        <v>0</v>
      </c>
      <c r="O4" s="18">
        <v>0</v>
      </c>
      <c r="P4" s="18">
        <f t="shared" si="3"/>
        <v>0</v>
      </c>
      <c r="Q4" s="18">
        <v>0</v>
      </c>
      <c r="R4" s="18">
        <v>0</v>
      </c>
      <c r="S4" s="18">
        <f t="shared" si="5"/>
        <v>0</v>
      </c>
    </row>
    <row r="5" spans="1:19" x14ac:dyDescent="0.2">
      <c r="A5" s="11" t="s">
        <v>369</v>
      </c>
      <c r="B5" s="18">
        <v>2595.85</v>
      </c>
      <c r="C5" s="18">
        <v>2558.75</v>
      </c>
      <c r="D5" s="186">
        <f t="shared" si="6"/>
        <v>37.099999999999909</v>
      </c>
      <c r="E5" s="18">
        <f t="shared" si="0"/>
        <v>2595.85</v>
      </c>
      <c r="F5" s="17">
        <f t="shared" si="0"/>
        <v>2558.75</v>
      </c>
      <c r="G5" s="17">
        <f t="shared" si="1"/>
        <v>37.099999999999909</v>
      </c>
      <c r="H5" s="60">
        <v>2595.85</v>
      </c>
      <c r="I5" s="17">
        <v>2558.75</v>
      </c>
      <c r="J5" s="17">
        <f t="shared" si="2"/>
        <v>37.099999999999909</v>
      </c>
      <c r="K5" s="18">
        <v>0</v>
      </c>
      <c r="L5" s="18">
        <v>0</v>
      </c>
      <c r="M5" s="18">
        <f t="shared" si="7"/>
        <v>0</v>
      </c>
      <c r="N5" s="18">
        <v>0</v>
      </c>
      <c r="O5" s="18">
        <v>0</v>
      </c>
      <c r="P5" s="18">
        <f t="shared" si="3"/>
        <v>0</v>
      </c>
      <c r="Q5" s="18">
        <v>0</v>
      </c>
      <c r="R5" s="18">
        <v>0</v>
      </c>
      <c r="S5" s="186">
        <f t="shared" si="5"/>
        <v>0</v>
      </c>
    </row>
    <row r="6" spans="1:19" x14ac:dyDescent="0.2">
      <c r="A6" s="11" t="s">
        <v>370</v>
      </c>
      <c r="B6" s="18">
        <v>1834.62</v>
      </c>
      <c r="C6" s="18">
        <v>1808.4</v>
      </c>
      <c r="D6" s="186">
        <f t="shared" si="6"/>
        <v>26.2199999999998</v>
      </c>
      <c r="E6" s="18">
        <f t="shared" si="0"/>
        <v>1834.62</v>
      </c>
      <c r="F6" s="18">
        <f t="shared" si="0"/>
        <v>1808.4</v>
      </c>
      <c r="G6" s="18">
        <f t="shared" si="1"/>
        <v>26.2199999999998</v>
      </c>
      <c r="H6" s="60">
        <v>1834.62</v>
      </c>
      <c r="I6" s="17">
        <v>1808.4</v>
      </c>
      <c r="J6" s="141">
        <f t="shared" si="2"/>
        <v>26.2199999999998</v>
      </c>
      <c r="K6" s="18">
        <v>0</v>
      </c>
      <c r="L6" s="18">
        <v>0</v>
      </c>
      <c r="M6" s="18">
        <f t="shared" si="7"/>
        <v>0</v>
      </c>
      <c r="N6" s="18">
        <v>0</v>
      </c>
      <c r="O6" s="18">
        <v>0</v>
      </c>
      <c r="P6" s="18">
        <f t="shared" si="3"/>
        <v>0</v>
      </c>
      <c r="Q6" s="18">
        <f t="shared" si="4"/>
        <v>0</v>
      </c>
      <c r="R6" s="18">
        <f t="shared" si="4"/>
        <v>0</v>
      </c>
      <c r="S6" s="18">
        <f>P6</f>
        <v>0</v>
      </c>
    </row>
    <row r="7" spans="1:19" x14ac:dyDescent="0.2">
      <c r="A7" s="316" t="s">
        <v>371</v>
      </c>
      <c r="B7" s="317">
        <v>0</v>
      </c>
      <c r="C7" s="317">
        <v>0</v>
      </c>
      <c r="D7" s="317">
        <f t="shared" si="6"/>
        <v>0</v>
      </c>
      <c r="E7" s="317">
        <f t="shared" si="0"/>
        <v>0</v>
      </c>
      <c r="F7" s="317">
        <f t="shared" si="0"/>
        <v>0</v>
      </c>
      <c r="G7" s="317">
        <f t="shared" si="1"/>
        <v>0</v>
      </c>
      <c r="H7" s="318">
        <v>0</v>
      </c>
      <c r="I7" s="319">
        <v>0</v>
      </c>
      <c r="J7" s="319">
        <f t="shared" si="2"/>
        <v>0</v>
      </c>
      <c r="K7" s="317">
        <v>-459</v>
      </c>
      <c r="L7" s="317">
        <v>0</v>
      </c>
      <c r="M7" s="317">
        <f>K7-L7</f>
        <v>-459</v>
      </c>
      <c r="N7" s="317">
        <v>0</v>
      </c>
      <c r="O7" s="317">
        <v>0</v>
      </c>
      <c r="P7" s="317">
        <f t="shared" si="3"/>
        <v>0</v>
      </c>
      <c r="Q7" s="317">
        <v>0</v>
      </c>
      <c r="R7" s="317">
        <v>0</v>
      </c>
      <c r="S7" s="317"/>
    </row>
    <row r="8" spans="1:19" s="1" customFormat="1" x14ac:dyDescent="0.2">
      <c r="A8" s="15" t="s">
        <v>34</v>
      </c>
      <c r="B8" s="53">
        <f t="shared" ref="B8:G8" si="8">SUM(B3:B7)</f>
        <v>12930.66</v>
      </c>
      <c r="C8" s="53">
        <f t="shared" si="8"/>
        <v>12745.85</v>
      </c>
      <c r="D8" s="53">
        <f t="shared" si="8"/>
        <v>184.8100000000004</v>
      </c>
      <c r="E8" s="53">
        <f t="shared" si="8"/>
        <v>12930.66</v>
      </c>
      <c r="F8" s="53">
        <f t="shared" si="8"/>
        <v>12745.85</v>
      </c>
      <c r="G8" s="53">
        <f t="shared" si="8"/>
        <v>184.8100000000004</v>
      </c>
      <c r="H8" s="53">
        <f>SUM(H3:H6)</f>
        <v>12930.66</v>
      </c>
      <c r="I8" s="53">
        <f>SUM(I3:I6)</f>
        <v>12745.85</v>
      </c>
      <c r="J8" s="53">
        <f>SUM(J3:J6)</f>
        <v>184.8100000000004</v>
      </c>
      <c r="K8" s="53">
        <f t="shared" ref="K8:S8" si="9">SUM(K3:K7)</f>
        <v>-459</v>
      </c>
      <c r="L8" s="53">
        <f t="shared" si="9"/>
        <v>0</v>
      </c>
      <c r="M8" s="53">
        <f t="shared" si="9"/>
        <v>-459</v>
      </c>
      <c r="N8" s="53">
        <f t="shared" si="9"/>
        <v>0</v>
      </c>
      <c r="O8" s="53">
        <f t="shared" si="9"/>
        <v>0</v>
      </c>
      <c r="P8" s="53">
        <f t="shared" si="9"/>
        <v>0</v>
      </c>
      <c r="Q8" s="53">
        <f t="shared" si="9"/>
        <v>0</v>
      </c>
      <c r="R8" s="53">
        <f t="shared" si="9"/>
        <v>0</v>
      </c>
      <c r="S8" s="53">
        <f t="shared" si="9"/>
        <v>0</v>
      </c>
    </row>
    <row r="9" spans="1:19" s="28" customFormat="1" ht="12.75" x14ac:dyDescent="0.2">
      <c r="A9" s="11"/>
      <c r="B9" s="367" t="s">
        <v>130</v>
      </c>
      <c r="C9" s="379"/>
      <c r="D9" s="379"/>
      <c r="E9" s="380" t="s">
        <v>131</v>
      </c>
      <c r="F9" s="381"/>
      <c r="G9" s="382"/>
      <c r="H9" s="367" t="s">
        <v>132</v>
      </c>
      <c r="I9" s="379"/>
      <c r="J9" s="379"/>
      <c r="K9" s="367" t="s">
        <v>133</v>
      </c>
      <c r="L9" s="379"/>
      <c r="M9" s="379"/>
      <c r="N9" s="380" t="s">
        <v>15</v>
      </c>
      <c r="O9" s="381"/>
      <c r="P9" s="382"/>
      <c r="Q9" s="367" t="s">
        <v>134</v>
      </c>
      <c r="R9" s="379"/>
      <c r="S9" s="379"/>
    </row>
    <row r="10" spans="1:19" x14ac:dyDescent="0.2">
      <c r="A10" s="10" t="s">
        <v>39</v>
      </c>
      <c r="B10" s="23" t="s">
        <v>34</v>
      </c>
      <c r="C10" s="23" t="s">
        <v>31</v>
      </c>
      <c r="D10" s="23" t="s">
        <v>32</v>
      </c>
      <c r="E10" s="23" t="s">
        <v>34</v>
      </c>
      <c r="F10" s="23" t="s">
        <v>31</v>
      </c>
      <c r="G10" s="23" t="s">
        <v>32</v>
      </c>
      <c r="H10" s="23" t="s">
        <v>34</v>
      </c>
      <c r="I10" s="23" t="s">
        <v>31</v>
      </c>
      <c r="J10" s="23" t="s">
        <v>32</v>
      </c>
      <c r="K10" s="23" t="s">
        <v>34</v>
      </c>
      <c r="L10" s="23" t="s">
        <v>31</v>
      </c>
      <c r="M10" s="23" t="s">
        <v>32</v>
      </c>
      <c r="N10" s="23" t="s">
        <v>34</v>
      </c>
      <c r="O10" s="23" t="s">
        <v>31</v>
      </c>
      <c r="P10" s="23" t="s">
        <v>32</v>
      </c>
      <c r="Q10" s="23" t="s">
        <v>34</v>
      </c>
      <c r="R10" s="23" t="s">
        <v>31</v>
      </c>
      <c r="S10" s="23" t="s">
        <v>32</v>
      </c>
    </row>
    <row r="11" spans="1:19" x14ac:dyDescent="0.2">
      <c r="A11" s="11" t="s">
        <v>367</v>
      </c>
      <c r="B11" s="18">
        <f>Q3</f>
        <v>0</v>
      </c>
      <c r="C11" s="18">
        <f>R3</f>
        <v>0</v>
      </c>
      <c r="D11" s="18">
        <f>B11-C11</f>
        <v>0</v>
      </c>
      <c r="E11" s="18">
        <v>0</v>
      </c>
      <c r="F11" s="18">
        <v>0</v>
      </c>
      <c r="G11" s="18">
        <f>E11-F11</f>
        <v>0</v>
      </c>
      <c r="H11" s="18">
        <v>0</v>
      </c>
      <c r="I11" s="18">
        <v>0</v>
      </c>
      <c r="J11" s="18">
        <f>H11-I11</f>
        <v>0</v>
      </c>
      <c r="K11" s="192">
        <v>0</v>
      </c>
      <c r="L11" s="192">
        <v>0</v>
      </c>
      <c r="M11" s="192">
        <f>K11-L11</f>
        <v>0</v>
      </c>
      <c r="N11" s="18">
        <v>0</v>
      </c>
      <c r="O11" s="18">
        <v>0</v>
      </c>
      <c r="P11" s="18">
        <f>N11-O11</f>
        <v>0</v>
      </c>
      <c r="Q11" s="18">
        <f t="shared" ref="Q11:R13" si="10">N11</f>
        <v>0</v>
      </c>
      <c r="R11" s="18">
        <f t="shared" si="10"/>
        <v>0</v>
      </c>
      <c r="S11" s="18">
        <f>Q11-R11</f>
        <v>0</v>
      </c>
    </row>
    <row r="12" spans="1:19" x14ac:dyDescent="0.2">
      <c r="A12" s="11" t="s">
        <v>368</v>
      </c>
      <c r="B12" s="192">
        <v>0</v>
      </c>
      <c r="C12" s="192">
        <v>0</v>
      </c>
      <c r="D12" s="192">
        <f>B12-C12</f>
        <v>0</v>
      </c>
      <c r="E12" s="192">
        <v>0</v>
      </c>
      <c r="F12" s="192">
        <v>0</v>
      </c>
      <c r="G12" s="192">
        <f>E12-F12</f>
        <v>0</v>
      </c>
      <c r="H12" s="186">
        <v>0</v>
      </c>
      <c r="I12" s="186">
        <v>0</v>
      </c>
      <c r="J12" s="186">
        <f t="shared" ref="J12:J15" si="11">H12-I12</f>
        <v>0</v>
      </c>
      <c r="K12" s="192">
        <v>0</v>
      </c>
      <c r="L12" s="192">
        <v>0</v>
      </c>
      <c r="M12" s="192">
        <f>K12-L12</f>
        <v>0</v>
      </c>
      <c r="N12" s="192">
        <f>K12</f>
        <v>0</v>
      </c>
      <c r="O12" s="192">
        <f>L12</f>
        <v>0</v>
      </c>
      <c r="P12" s="192">
        <f>N12-O12</f>
        <v>0</v>
      </c>
      <c r="Q12" s="192">
        <f t="shared" si="10"/>
        <v>0</v>
      </c>
      <c r="R12" s="192">
        <f t="shared" si="10"/>
        <v>0</v>
      </c>
      <c r="S12" s="192">
        <f>Q12-R12</f>
        <v>0</v>
      </c>
    </row>
    <row r="13" spans="1:19" x14ac:dyDescent="0.2">
      <c r="A13" s="193" t="s">
        <v>369</v>
      </c>
      <c r="B13" s="186">
        <v>0</v>
      </c>
      <c r="C13" s="186">
        <v>0</v>
      </c>
      <c r="D13" s="186">
        <f>B13-C13</f>
        <v>0</v>
      </c>
      <c r="E13" s="186">
        <v>0</v>
      </c>
      <c r="F13" s="186">
        <v>0</v>
      </c>
      <c r="G13" s="186">
        <f>E13-F13</f>
        <v>0</v>
      </c>
      <c r="H13" s="186">
        <v>0</v>
      </c>
      <c r="I13" s="186">
        <v>0</v>
      </c>
      <c r="J13" s="186">
        <f t="shared" si="11"/>
        <v>0</v>
      </c>
      <c r="K13" s="186">
        <v>0</v>
      </c>
      <c r="L13" s="186">
        <v>0</v>
      </c>
      <c r="M13" s="186">
        <f>K13-L13</f>
        <v>0</v>
      </c>
      <c r="N13" s="186">
        <f>K13</f>
        <v>0</v>
      </c>
      <c r="O13" s="186">
        <f>L13</f>
        <v>0</v>
      </c>
      <c r="P13" s="186">
        <f>N13-O13</f>
        <v>0</v>
      </c>
      <c r="Q13" s="186">
        <f t="shared" si="10"/>
        <v>0</v>
      </c>
      <c r="R13" s="186">
        <f t="shared" si="10"/>
        <v>0</v>
      </c>
      <c r="S13" s="186">
        <f>Q13-R13</f>
        <v>0</v>
      </c>
    </row>
    <row r="14" spans="1:19" x14ac:dyDescent="0.2">
      <c r="A14" s="193" t="s">
        <v>370</v>
      </c>
      <c r="B14" s="186">
        <f>SUM(B11:B13)</f>
        <v>0</v>
      </c>
      <c r="C14" s="186">
        <f t="shared" ref="C14:S15" si="12">SUM(C11:C13)</f>
        <v>0</v>
      </c>
      <c r="D14" s="186">
        <f t="shared" si="12"/>
        <v>0</v>
      </c>
      <c r="E14" s="186">
        <v>0</v>
      </c>
      <c r="F14" s="186">
        <v>0</v>
      </c>
      <c r="G14" s="186">
        <f t="shared" ref="G14:G15" si="13">E14-F14</f>
        <v>0</v>
      </c>
      <c r="H14" s="186">
        <v>0</v>
      </c>
      <c r="I14" s="186">
        <v>0</v>
      </c>
      <c r="J14" s="186">
        <f t="shared" si="11"/>
        <v>0</v>
      </c>
      <c r="K14" s="186">
        <v>0</v>
      </c>
      <c r="L14" s="186">
        <v>0</v>
      </c>
      <c r="M14" s="186">
        <f t="shared" si="12"/>
        <v>0</v>
      </c>
      <c r="N14" s="186">
        <f t="shared" si="12"/>
        <v>0</v>
      </c>
      <c r="O14" s="186">
        <f t="shared" si="12"/>
        <v>0</v>
      </c>
      <c r="P14" s="186">
        <f t="shared" si="12"/>
        <v>0</v>
      </c>
      <c r="Q14" s="186">
        <f t="shared" si="12"/>
        <v>0</v>
      </c>
      <c r="R14" s="186">
        <f t="shared" si="12"/>
        <v>0</v>
      </c>
      <c r="S14" s="186">
        <f t="shared" si="12"/>
        <v>0</v>
      </c>
    </row>
    <row r="15" spans="1:19" x14ac:dyDescent="0.2">
      <c r="A15" s="193" t="s">
        <v>371</v>
      </c>
      <c r="B15" s="191">
        <v>0</v>
      </c>
      <c r="C15" s="191">
        <v>0</v>
      </c>
      <c r="D15" s="186">
        <f t="shared" si="12"/>
        <v>0</v>
      </c>
      <c r="E15" s="191">
        <v>0</v>
      </c>
      <c r="F15" s="191">
        <v>0</v>
      </c>
      <c r="G15" s="186">
        <f t="shared" si="13"/>
        <v>0</v>
      </c>
      <c r="H15" s="186">
        <v>0</v>
      </c>
      <c r="I15" s="186">
        <v>0</v>
      </c>
      <c r="J15" s="186">
        <f t="shared" si="11"/>
        <v>0</v>
      </c>
      <c r="K15" s="186">
        <v>0</v>
      </c>
      <c r="L15" s="186">
        <v>0</v>
      </c>
      <c r="M15" s="186">
        <f>K15-L15</f>
        <v>0</v>
      </c>
      <c r="N15" s="186">
        <f>K15</f>
        <v>0</v>
      </c>
      <c r="O15" s="186">
        <f>L15</f>
        <v>0</v>
      </c>
      <c r="P15" s="186">
        <f>N15-O15</f>
        <v>0</v>
      </c>
      <c r="Q15" s="186">
        <f t="shared" ref="Q15" si="14">N15</f>
        <v>0</v>
      </c>
      <c r="R15" s="186">
        <f t="shared" ref="R15" si="15">O15</f>
        <v>0</v>
      </c>
      <c r="S15" s="186">
        <f>Q15-R15</f>
        <v>0</v>
      </c>
    </row>
    <row r="16" spans="1:19" x14ac:dyDescent="0.2">
      <c r="A16" s="194"/>
      <c r="B16" s="191">
        <f>SUM(B11:B15)</f>
        <v>0</v>
      </c>
      <c r="C16" s="191">
        <f t="shared" ref="C16:D16" si="16">SUM(C11:C15)</f>
        <v>0</v>
      </c>
      <c r="D16" s="191">
        <f t="shared" si="16"/>
        <v>0</v>
      </c>
      <c r="E16" s="191">
        <f>SUM(E11:E15)</f>
        <v>0</v>
      </c>
      <c r="F16" s="191">
        <f t="shared" ref="F16:S16" si="17">SUM(F11:F15)</f>
        <v>0</v>
      </c>
      <c r="G16" s="191">
        <f t="shared" si="17"/>
        <v>0</v>
      </c>
      <c r="H16" s="191">
        <f t="shared" si="17"/>
        <v>0</v>
      </c>
      <c r="I16" s="191">
        <f t="shared" si="17"/>
        <v>0</v>
      </c>
      <c r="J16" s="186">
        <f t="shared" ref="J16" si="18">H16-I16</f>
        <v>0</v>
      </c>
      <c r="K16" s="191">
        <f t="shared" si="17"/>
        <v>0</v>
      </c>
      <c r="L16" s="191">
        <f t="shared" si="17"/>
        <v>0</v>
      </c>
      <c r="M16" s="191">
        <f t="shared" si="17"/>
        <v>0</v>
      </c>
      <c r="N16" s="191">
        <f t="shared" si="17"/>
        <v>0</v>
      </c>
      <c r="O16" s="191">
        <f t="shared" si="17"/>
        <v>0</v>
      </c>
      <c r="P16" s="191">
        <f t="shared" si="17"/>
        <v>0</v>
      </c>
      <c r="Q16" s="191">
        <f t="shared" si="17"/>
        <v>0</v>
      </c>
      <c r="R16" s="191">
        <f t="shared" si="17"/>
        <v>0</v>
      </c>
      <c r="S16" s="191">
        <f t="shared" si="17"/>
        <v>0</v>
      </c>
    </row>
    <row r="17" spans="1:11" ht="12.75" x14ac:dyDescent="0.2">
      <c r="A17" s="11"/>
      <c r="B17" s="383" t="s">
        <v>65</v>
      </c>
      <c r="C17" s="383"/>
      <c r="D17" s="383"/>
      <c r="E17" s="383"/>
      <c r="F17" s="383"/>
      <c r="G17"/>
      <c r="H17"/>
      <c r="I17"/>
      <c r="J17"/>
      <c r="K17"/>
    </row>
    <row r="18" spans="1:11" ht="12.75" x14ac:dyDescent="0.2">
      <c r="A18" s="11"/>
      <c r="B18" s="375" t="s">
        <v>122</v>
      </c>
      <c r="C18" s="375"/>
      <c r="D18" s="375"/>
      <c r="E18" s="384">
        <f>C14+F14+I14+L14+O14+R14+R8+O8+L8+I8+F8+C8</f>
        <v>38237.550000000003</v>
      </c>
      <c r="F18" s="385"/>
      <c r="G18"/>
      <c r="H18"/>
      <c r="I18"/>
      <c r="J18"/>
      <c r="K18"/>
    </row>
    <row r="19" spans="1:11" ht="12.75" x14ac:dyDescent="0.2">
      <c r="A19" s="11"/>
      <c r="B19" s="375" t="s">
        <v>69</v>
      </c>
      <c r="C19" s="375"/>
      <c r="D19" s="375"/>
      <c r="E19" s="384">
        <f>D8+G8+J8+M8+P8+S8+S14+P14+M14+J14+G14+D14</f>
        <v>95.430000000001201</v>
      </c>
      <c r="F19" s="385"/>
      <c r="G19"/>
      <c r="H19"/>
      <c r="I19"/>
      <c r="J19"/>
      <c r="K19"/>
    </row>
    <row r="20" spans="1:11" ht="12.75" x14ac:dyDescent="0.2">
      <c r="A20" s="11"/>
      <c r="B20" s="370" t="s">
        <v>70</v>
      </c>
      <c r="C20" s="371"/>
      <c r="D20" s="372"/>
      <c r="E20" s="377">
        <f>E18+E19</f>
        <v>38332.980000000003</v>
      </c>
      <c r="F20" s="378"/>
      <c r="G20"/>
      <c r="H20"/>
      <c r="I20" s="20" t="s">
        <v>47</v>
      </c>
      <c r="J20"/>
      <c r="K20"/>
    </row>
    <row r="21" spans="1:11" x14ac:dyDescent="0.2">
      <c r="A21" s="11"/>
    </row>
    <row r="22" spans="1:11" x14ac:dyDescent="0.2">
      <c r="A22" s="11"/>
    </row>
    <row r="23" spans="1:11" x14ac:dyDescent="0.2">
      <c r="A23" s="316" t="s">
        <v>341</v>
      </c>
    </row>
    <row r="24" spans="1:11" x14ac:dyDescent="0.2">
      <c r="A24" s="11"/>
    </row>
    <row r="25" spans="1:11" x14ac:dyDescent="0.2">
      <c r="A25" s="11"/>
    </row>
    <row r="26" spans="1:11" x14ac:dyDescent="0.2">
      <c r="A26" s="11"/>
      <c r="E26" s="73"/>
    </row>
    <row r="27" spans="1:11" x14ac:dyDescent="0.2">
      <c r="A27" s="11"/>
    </row>
    <row r="28" spans="1:11" x14ac:dyDescent="0.2">
      <c r="A28" s="11"/>
    </row>
    <row r="29" spans="1:11" x14ac:dyDescent="0.2">
      <c r="A29" s="11"/>
    </row>
    <row r="30" spans="1:11" x14ac:dyDescent="0.2">
      <c r="A30" s="11"/>
    </row>
    <row r="31" spans="1:11" x14ac:dyDescent="0.2">
      <c r="A31" s="11"/>
    </row>
    <row r="32" spans="1:11" x14ac:dyDescent="0.2">
      <c r="A32" s="11"/>
    </row>
    <row r="33" spans="1:1" x14ac:dyDescent="0.2">
      <c r="A33" s="11"/>
    </row>
    <row r="34" spans="1:1" x14ac:dyDescent="0.2">
      <c r="A34" s="11"/>
    </row>
    <row r="35" spans="1:1" x14ac:dyDescent="0.2">
      <c r="A35" s="11"/>
    </row>
    <row r="36" spans="1:1" x14ac:dyDescent="0.2">
      <c r="A36" s="11"/>
    </row>
    <row r="37" spans="1:1" x14ac:dyDescent="0.2">
      <c r="A37" s="11"/>
    </row>
    <row r="38" spans="1:1" x14ac:dyDescent="0.2">
      <c r="A38" s="11"/>
    </row>
    <row r="39" spans="1:1" x14ac:dyDescent="0.2">
      <c r="A39" s="11"/>
    </row>
    <row r="40" spans="1:1" x14ac:dyDescent="0.2">
      <c r="A40" s="11"/>
    </row>
    <row r="41" spans="1:1" x14ac:dyDescent="0.2">
      <c r="A41" s="11"/>
    </row>
    <row r="42" spans="1:1" x14ac:dyDescent="0.2">
      <c r="A42" s="11"/>
    </row>
    <row r="43" spans="1:1" x14ac:dyDescent="0.2">
      <c r="A43" s="11"/>
    </row>
    <row r="44" spans="1:1" x14ac:dyDescent="0.2">
      <c r="A44" s="11"/>
    </row>
    <row r="45" spans="1:1" x14ac:dyDescent="0.2">
      <c r="A45" s="11"/>
    </row>
    <row r="46" spans="1:1" x14ac:dyDescent="0.2">
      <c r="A46" s="11"/>
    </row>
    <row r="47" spans="1:1" x14ac:dyDescent="0.2">
      <c r="A47" s="11"/>
    </row>
    <row r="48" spans="1:1" x14ac:dyDescent="0.2">
      <c r="A48" s="11"/>
    </row>
    <row r="49" spans="1:1" x14ac:dyDescent="0.2">
      <c r="A49" s="11"/>
    </row>
    <row r="50" spans="1:1" x14ac:dyDescent="0.2">
      <c r="A50" s="11"/>
    </row>
    <row r="51" spans="1:1" x14ac:dyDescent="0.2">
      <c r="A51" s="11"/>
    </row>
    <row r="52" spans="1:1" x14ac:dyDescent="0.2">
      <c r="A52" s="11"/>
    </row>
    <row r="53" spans="1:1" x14ac:dyDescent="0.2">
      <c r="A53" s="11"/>
    </row>
    <row r="54" spans="1:1" x14ac:dyDescent="0.2">
      <c r="A54" s="11"/>
    </row>
    <row r="55" spans="1:1" x14ac:dyDescent="0.2">
      <c r="A55" s="11"/>
    </row>
    <row r="56" spans="1:1" x14ac:dyDescent="0.2">
      <c r="A56" s="11"/>
    </row>
    <row r="57" spans="1:1" x14ac:dyDescent="0.2">
      <c r="A57" s="11"/>
    </row>
    <row r="58" spans="1:1" x14ac:dyDescent="0.2">
      <c r="A58" s="11"/>
    </row>
    <row r="59" spans="1:1" x14ac:dyDescent="0.2">
      <c r="A59" s="11"/>
    </row>
  </sheetData>
  <mergeCells count="19">
    <mergeCell ref="K9:M9"/>
    <mergeCell ref="N9:P9"/>
    <mergeCell ref="Q9:S9"/>
    <mergeCell ref="B1:D1"/>
    <mergeCell ref="E1:G1"/>
    <mergeCell ref="H1:J1"/>
    <mergeCell ref="K1:M1"/>
    <mergeCell ref="N1:P1"/>
    <mergeCell ref="Q1:S1"/>
    <mergeCell ref="B20:D20"/>
    <mergeCell ref="E20:F20"/>
    <mergeCell ref="B9:D9"/>
    <mergeCell ref="E9:G9"/>
    <mergeCell ref="H9:J9"/>
    <mergeCell ref="B17:F17"/>
    <mergeCell ref="B18:D18"/>
    <mergeCell ref="E18:F18"/>
    <mergeCell ref="B19:D19"/>
    <mergeCell ref="E19:F19"/>
  </mergeCells>
  <printOptions horizontalCentered="1" gridLines="1"/>
  <pageMargins left="0" right="0" top="0.75" bottom="0" header="0.3" footer="0.3"/>
  <pageSetup scale="80" orientation="landscape" r:id="rId1"/>
  <headerFooter>
    <oddHeader>&amp;LElectrical Engineering Department&amp;C Budget and Expenditure Projection 2016-17
&amp;R&amp;A</oddHeader>
    <oddFooter>&amp;R&amp;8&amp;D</oddFooter>
  </headerFooter>
  <ignoredErrors>
    <ignoredError sqref="M4 P4 G12 G11 P11:R11 M12:R12 P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0.39997558519241921"/>
  </sheetPr>
  <dimension ref="A1:S53"/>
  <sheetViews>
    <sheetView tabSelected="1" zoomScaleNormal="100" workbookViewId="0">
      <selection activeCell="G34" sqref="G34"/>
    </sheetView>
  </sheetViews>
  <sheetFormatPr defaultColWidth="9.140625" defaultRowHeight="12" x14ac:dyDescent="0.2"/>
  <cols>
    <col min="1" max="1" width="7.85546875" style="3" bestFit="1" customWidth="1"/>
    <col min="2" max="2" width="6.7109375" style="2" customWidth="1"/>
    <col min="3" max="4" width="8.140625" style="2" bestFit="1" customWidth="1"/>
    <col min="5" max="5" width="9" style="2" bestFit="1" customWidth="1"/>
    <col min="6" max="7" width="8.140625" style="2" bestFit="1" customWidth="1"/>
    <col min="8" max="8" width="9" style="2" bestFit="1" customWidth="1"/>
    <col min="9" max="10" width="8.140625" style="2" bestFit="1" customWidth="1"/>
    <col min="11" max="19" width="9" style="2" bestFit="1" customWidth="1"/>
    <col min="20" max="16384" width="9.140625" style="2"/>
  </cols>
  <sheetData>
    <row r="1" spans="1:19" s="28" customFormat="1" x14ac:dyDescent="0.2">
      <c r="A1" s="8"/>
      <c r="B1" s="365" t="s">
        <v>6</v>
      </c>
      <c r="C1" s="386"/>
      <c r="D1" s="386"/>
      <c r="E1" s="367" t="s">
        <v>125</v>
      </c>
      <c r="F1" s="367"/>
      <c r="G1" s="367"/>
      <c r="H1" s="367" t="s">
        <v>126</v>
      </c>
      <c r="I1" s="367"/>
      <c r="J1" s="367"/>
      <c r="K1" s="365" t="s">
        <v>127</v>
      </c>
      <c r="L1" s="386"/>
      <c r="M1" s="386"/>
      <c r="N1" s="367" t="s">
        <v>128</v>
      </c>
      <c r="O1" s="367"/>
      <c r="P1" s="367"/>
      <c r="Q1" s="367" t="s">
        <v>129</v>
      </c>
      <c r="R1" s="367"/>
      <c r="S1" s="367"/>
    </row>
    <row r="2" spans="1:19" x14ac:dyDescent="0.2">
      <c r="A2" s="10" t="s">
        <v>39</v>
      </c>
      <c r="B2" s="23" t="s">
        <v>33</v>
      </c>
      <c r="C2" s="23" t="s">
        <v>31</v>
      </c>
      <c r="D2" s="23" t="s">
        <v>32</v>
      </c>
      <c r="E2" s="23" t="s">
        <v>34</v>
      </c>
      <c r="F2" s="23" t="s">
        <v>31</v>
      </c>
      <c r="G2" s="23" t="s">
        <v>32</v>
      </c>
      <c r="H2" s="23" t="s">
        <v>34</v>
      </c>
      <c r="I2" s="23" t="s">
        <v>31</v>
      </c>
      <c r="J2" s="23" t="s">
        <v>32</v>
      </c>
      <c r="K2" s="50" t="s">
        <v>34</v>
      </c>
      <c r="L2" s="50" t="s">
        <v>31</v>
      </c>
      <c r="M2" s="50" t="s">
        <v>32</v>
      </c>
      <c r="N2" s="23" t="s">
        <v>34</v>
      </c>
      <c r="O2" s="23" t="s">
        <v>31</v>
      </c>
      <c r="P2" s="23" t="s">
        <v>32</v>
      </c>
      <c r="Q2" s="23" t="s">
        <v>34</v>
      </c>
      <c r="R2" s="23" t="s">
        <v>31</v>
      </c>
      <c r="S2" s="23" t="s">
        <v>32</v>
      </c>
    </row>
    <row r="3" spans="1:19" x14ac:dyDescent="0.2">
      <c r="A3" s="11" t="s">
        <v>372</v>
      </c>
      <c r="B3" s="52">
        <v>13812.27</v>
      </c>
      <c r="C3" s="52">
        <v>8855</v>
      </c>
      <c r="D3" s="52">
        <f>B3-C3</f>
        <v>4957.2700000000004</v>
      </c>
      <c r="E3" s="52">
        <f>B3</f>
        <v>13812.27</v>
      </c>
      <c r="F3" s="52">
        <f>C3</f>
        <v>8855</v>
      </c>
      <c r="G3" s="52">
        <f>E3-F3</f>
        <v>4957.2700000000004</v>
      </c>
      <c r="H3" s="52">
        <v>15324.02</v>
      </c>
      <c r="I3" s="52">
        <v>9980</v>
      </c>
      <c r="J3" s="52">
        <f>H3-I3</f>
        <v>5344.02</v>
      </c>
      <c r="K3" s="51">
        <f>H3</f>
        <v>15324.02</v>
      </c>
      <c r="L3" s="51">
        <f>I3</f>
        <v>9980</v>
      </c>
      <c r="M3" s="51">
        <f>K3-L3</f>
        <v>5344.02</v>
      </c>
      <c r="N3" s="51">
        <f>K3</f>
        <v>15324.02</v>
      </c>
      <c r="O3" s="51">
        <f>L3</f>
        <v>9980</v>
      </c>
      <c r="P3" s="51">
        <f>N3-O3</f>
        <v>5344.02</v>
      </c>
      <c r="Q3" s="51">
        <v>15329.52</v>
      </c>
      <c r="R3" s="51">
        <f>O3</f>
        <v>9980</v>
      </c>
      <c r="S3" s="51">
        <f>Q3-R3</f>
        <v>5349.52</v>
      </c>
    </row>
    <row r="4" spans="1:19" s="1" customFormat="1" x14ac:dyDescent="0.2">
      <c r="A4" s="15" t="s">
        <v>34</v>
      </c>
      <c r="B4" s="110">
        <f t="shared" ref="B4:P4" si="0">SUM(B3:B3)</f>
        <v>13812.27</v>
      </c>
      <c r="C4" s="110">
        <f t="shared" si="0"/>
        <v>8855</v>
      </c>
      <c r="D4" s="110">
        <f t="shared" si="0"/>
        <v>4957.2700000000004</v>
      </c>
      <c r="E4" s="110">
        <f t="shared" si="0"/>
        <v>13812.27</v>
      </c>
      <c r="F4" s="110">
        <f t="shared" si="0"/>
        <v>8855</v>
      </c>
      <c r="G4" s="110">
        <f t="shared" si="0"/>
        <v>4957.2700000000004</v>
      </c>
      <c r="H4" s="110">
        <f t="shared" si="0"/>
        <v>15324.02</v>
      </c>
      <c r="I4" s="110">
        <f t="shared" si="0"/>
        <v>9980</v>
      </c>
      <c r="J4" s="110">
        <f t="shared" si="0"/>
        <v>5344.02</v>
      </c>
      <c r="K4" s="111">
        <f t="shared" si="0"/>
        <v>15324.02</v>
      </c>
      <c r="L4" s="111">
        <f t="shared" si="0"/>
        <v>9980</v>
      </c>
      <c r="M4" s="111">
        <f t="shared" si="0"/>
        <v>5344.02</v>
      </c>
      <c r="N4" s="111">
        <f t="shared" si="0"/>
        <v>15324.02</v>
      </c>
      <c r="O4" s="111">
        <f t="shared" si="0"/>
        <v>9980</v>
      </c>
      <c r="P4" s="111">
        <f t="shared" si="0"/>
        <v>5344.02</v>
      </c>
      <c r="Q4" s="111">
        <f>SUM(Q3:Q3)</f>
        <v>15329.52</v>
      </c>
      <c r="R4" s="111">
        <f>SUM(R3:R3)</f>
        <v>9980</v>
      </c>
      <c r="S4" s="111">
        <f>SUM(S3:S3)</f>
        <v>5349.52</v>
      </c>
    </row>
    <row r="5" spans="1:19" s="28" customFormat="1" ht="12.75" x14ac:dyDescent="0.2">
      <c r="A5" s="11"/>
      <c r="B5" s="367" t="s">
        <v>130</v>
      </c>
      <c r="C5" s="379"/>
      <c r="D5" s="379"/>
      <c r="E5" s="367" t="s">
        <v>131</v>
      </c>
      <c r="F5" s="379"/>
      <c r="G5" s="379"/>
      <c r="H5" s="367" t="s">
        <v>132</v>
      </c>
      <c r="I5" s="379"/>
      <c r="J5" s="379"/>
      <c r="K5" s="367" t="s">
        <v>133</v>
      </c>
      <c r="L5" s="379"/>
      <c r="M5" s="379"/>
      <c r="N5" s="367" t="s">
        <v>15</v>
      </c>
      <c r="O5" s="379"/>
      <c r="P5" s="379"/>
      <c r="Q5" s="367" t="s">
        <v>134</v>
      </c>
      <c r="R5" s="379"/>
      <c r="S5" s="379"/>
    </row>
    <row r="6" spans="1:19" x14ac:dyDescent="0.2">
      <c r="A6" s="10" t="s">
        <v>39</v>
      </c>
      <c r="B6" s="23" t="s">
        <v>34</v>
      </c>
      <c r="C6" s="23" t="s">
        <v>31</v>
      </c>
      <c r="D6" s="23" t="s">
        <v>32</v>
      </c>
      <c r="E6" s="23" t="s">
        <v>34</v>
      </c>
      <c r="F6" s="23" t="s">
        <v>31</v>
      </c>
      <c r="G6" s="23" t="s">
        <v>32</v>
      </c>
      <c r="H6" s="23" t="s">
        <v>34</v>
      </c>
      <c r="I6" s="23" t="s">
        <v>31</v>
      </c>
      <c r="J6" s="23" t="s">
        <v>32</v>
      </c>
      <c r="K6" s="23" t="s">
        <v>34</v>
      </c>
      <c r="L6" s="23" t="s">
        <v>31</v>
      </c>
      <c r="M6" s="23" t="s">
        <v>32</v>
      </c>
      <c r="N6" s="23" t="s">
        <v>34</v>
      </c>
      <c r="O6" s="23" t="s">
        <v>31</v>
      </c>
      <c r="P6" s="23" t="s">
        <v>32</v>
      </c>
      <c r="Q6" s="23" t="s">
        <v>34</v>
      </c>
      <c r="R6" s="23" t="s">
        <v>31</v>
      </c>
      <c r="S6" s="23" t="s">
        <v>32</v>
      </c>
    </row>
    <row r="7" spans="1:19" x14ac:dyDescent="0.2">
      <c r="A7" s="11" t="str">
        <f>A3</f>
        <v>DDC</v>
      </c>
      <c r="B7" s="51">
        <f>Q3</f>
        <v>15329.52</v>
      </c>
      <c r="C7" s="51">
        <f>R3</f>
        <v>9980</v>
      </c>
      <c r="D7" s="51">
        <f>B7-C7</f>
        <v>5349.52</v>
      </c>
      <c r="E7" s="51">
        <f>B7</f>
        <v>15329.52</v>
      </c>
      <c r="F7" s="51">
        <f>C7</f>
        <v>9980</v>
      </c>
      <c r="G7" s="51">
        <f>E7-F7</f>
        <v>5349.52</v>
      </c>
      <c r="H7" s="51">
        <f>15329.67+0.3</f>
        <v>15329.97</v>
      </c>
      <c r="I7" s="51">
        <f>F7</f>
        <v>9980</v>
      </c>
      <c r="J7" s="51">
        <f>H7-I7</f>
        <v>5349.9699999999993</v>
      </c>
      <c r="K7" s="51">
        <v>0</v>
      </c>
      <c r="L7" s="51">
        <v>0</v>
      </c>
      <c r="M7" s="51">
        <f>K7-L7</f>
        <v>0</v>
      </c>
      <c r="N7" s="51">
        <f>K7</f>
        <v>0</v>
      </c>
      <c r="O7" s="51">
        <f>L7</f>
        <v>0</v>
      </c>
      <c r="P7" s="51">
        <f>N7-O7</f>
        <v>0</v>
      </c>
      <c r="Q7" s="51">
        <f>N7</f>
        <v>0</v>
      </c>
      <c r="R7" s="51">
        <f>O7</f>
        <v>0</v>
      </c>
      <c r="S7" s="51">
        <f>Q7-R7</f>
        <v>0</v>
      </c>
    </row>
    <row r="8" spans="1:19" x14ac:dyDescent="0.2">
      <c r="A8" s="11" t="s">
        <v>372</v>
      </c>
      <c r="B8" s="51">
        <v>0</v>
      </c>
      <c r="C8" s="51">
        <v>0</v>
      </c>
      <c r="D8" s="51">
        <f>B8-C8</f>
        <v>0</v>
      </c>
      <c r="E8" s="51">
        <v>0</v>
      </c>
      <c r="F8" s="51">
        <v>0</v>
      </c>
      <c r="G8" s="51">
        <f>E8-F8</f>
        <v>0</v>
      </c>
      <c r="H8" s="51">
        <v>0</v>
      </c>
      <c r="I8" s="51">
        <v>0</v>
      </c>
      <c r="J8" s="51">
        <f>H8-I8</f>
        <v>0</v>
      </c>
      <c r="K8" s="51">
        <v>13151.79</v>
      </c>
      <c r="L8" s="51">
        <v>8372</v>
      </c>
      <c r="M8" s="51">
        <f>K8-L8</f>
        <v>4779.7900000000009</v>
      </c>
      <c r="N8" s="51">
        <f>K8</f>
        <v>13151.79</v>
      </c>
      <c r="O8" s="51">
        <f>L8</f>
        <v>8372</v>
      </c>
      <c r="P8" s="51">
        <f>N8-O8</f>
        <v>4779.7900000000009</v>
      </c>
      <c r="Q8" s="51">
        <f>N8</f>
        <v>13151.79</v>
      </c>
      <c r="R8" s="51">
        <f>O8</f>
        <v>8372</v>
      </c>
      <c r="S8" s="51">
        <f>Q8-R8</f>
        <v>4779.7900000000009</v>
      </c>
    </row>
    <row r="9" spans="1:19" x14ac:dyDescent="0.2">
      <c r="A9" s="15" t="s">
        <v>34</v>
      </c>
      <c r="B9" s="111">
        <f>SUM(B7:B8)</f>
        <v>15329.52</v>
      </c>
      <c r="C9" s="111">
        <f t="shared" ref="C9:S9" si="1">SUM(C7:C8)</f>
        <v>9980</v>
      </c>
      <c r="D9" s="111">
        <f t="shared" si="1"/>
        <v>5349.52</v>
      </c>
      <c r="E9" s="111">
        <f t="shared" si="1"/>
        <v>15329.52</v>
      </c>
      <c r="F9" s="111">
        <f t="shared" si="1"/>
        <v>9980</v>
      </c>
      <c r="G9" s="111">
        <f t="shared" si="1"/>
        <v>5349.52</v>
      </c>
      <c r="H9" s="111">
        <f t="shared" si="1"/>
        <v>15329.97</v>
      </c>
      <c r="I9" s="111">
        <f t="shared" si="1"/>
        <v>9980</v>
      </c>
      <c r="J9" s="111">
        <f t="shared" si="1"/>
        <v>5349.9699999999993</v>
      </c>
      <c r="K9" s="111">
        <f t="shared" si="1"/>
        <v>13151.79</v>
      </c>
      <c r="L9" s="111">
        <f t="shared" si="1"/>
        <v>8372</v>
      </c>
      <c r="M9" s="111">
        <f t="shared" si="1"/>
        <v>4779.7900000000009</v>
      </c>
      <c r="N9" s="111">
        <f t="shared" si="1"/>
        <v>13151.79</v>
      </c>
      <c r="O9" s="111">
        <f t="shared" si="1"/>
        <v>8372</v>
      </c>
      <c r="P9" s="111">
        <f t="shared" si="1"/>
        <v>4779.7900000000009</v>
      </c>
      <c r="Q9" s="111">
        <f t="shared" si="1"/>
        <v>13151.79</v>
      </c>
      <c r="R9" s="111">
        <f t="shared" si="1"/>
        <v>8372</v>
      </c>
      <c r="S9" s="111">
        <f t="shared" si="1"/>
        <v>4779.7900000000009</v>
      </c>
    </row>
    <row r="10" spans="1:19" x14ac:dyDescent="0.2">
      <c r="A10" s="1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2.75" x14ac:dyDescent="0.2">
      <c r="A11" s="11"/>
      <c r="B11" s="383" t="s">
        <v>65</v>
      </c>
      <c r="C11" s="383"/>
      <c r="D11" s="383"/>
      <c r="E11" s="383"/>
      <c r="F11" s="383"/>
      <c r="G11"/>
      <c r="H11"/>
      <c r="I11"/>
      <c r="J11"/>
      <c r="K11"/>
    </row>
    <row r="12" spans="1:19" ht="12.75" x14ac:dyDescent="0.2">
      <c r="A12" s="11"/>
      <c r="B12" s="375" t="s">
        <v>68</v>
      </c>
      <c r="C12" s="375"/>
      <c r="D12" s="375"/>
      <c r="E12" s="384">
        <f>C9+F9+I9+L9+O9+R9+R4+O4+L4+I4+F4+C4</f>
        <v>112686</v>
      </c>
      <c r="F12" s="385"/>
      <c r="G12"/>
      <c r="H12"/>
      <c r="I12"/>
      <c r="J12"/>
      <c r="K12"/>
    </row>
    <row r="13" spans="1:19" ht="12.75" x14ac:dyDescent="0.2">
      <c r="A13" s="11"/>
      <c r="B13" s="375" t="s">
        <v>69</v>
      </c>
      <c r="C13" s="375"/>
      <c r="D13" s="375"/>
      <c r="E13" s="384">
        <f>D4+G4+J4+M4+P4+S4+S9+P9+M9+J9+G9+D9</f>
        <v>61684.500000000015</v>
      </c>
      <c r="F13" s="385"/>
      <c r="G13"/>
      <c r="H13"/>
      <c r="I13"/>
      <c r="J13"/>
      <c r="K13"/>
    </row>
    <row r="14" spans="1:19" ht="12.75" x14ac:dyDescent="0.2">
      <c r="A14" s="11"/>
      <c r="B14" s="370" t="s">
        <v>70</v>
      </c>
      <c r="C14" s="371"/>
      <c r="D14" s="372"/>
      <c r="E14" s="377">
        <f>E12+E13</f>
        <v>174370.5</v>
      </c>
      <c r="F14" s="378"/>
      <c r="G14"/>
      <c r="H14"/>
      <c r="I14"/>
      <c r="J14"/>
      <c r="K14"/>
    </row>
    <row r="15" spans="1:19" x14ac:dyDescent="0.2">
      <c r="A15" s="11"/>
    </row>
    <row r="16" spans="1:19" x14ac:dyDescent="0.2">
      <c r="A16" s="11"/>
    </row>
    <row r="17" spans="1:1" x14ac:dyDescent="0.2">
      <c r="A17" s="11"/>
    </row>
    <row r="18" spans="1:1" x14ac:dyDescent="0.2">
      <c r="A18" s="11"/>
    </row>
    <row r="19" spans="1:1" x14ac:dyDescent="0.2">
      <c r="A19" s="11"/>
    </row>
    <row r="20" spans="1:1" x14ac:dyDescent="0.2">
      <c r="A20" s="11"/>
    </row>
    <row r="21" spans="1:1" x14ac:dyDescent="0.2">
      <c r="A21" s="11"/>
    </row>
    <row r="22" spans="1:1" x14ac:dyDescent="0.2">
      <c r="A22" s="11"/>
    </row>
    <row r="23" spans="1:1" x14ac:dyDescent="0.2">
      <c r="A23" s="11"/>
    </row>
    <row r="24" spans="1:1" x14ac:dyDescent="0.2">
      <c r="A24" s="11"/>
    </row>
    <row r="25" spans="1:1" x14ac:dyDescent="0.2">
      <c r="A25" s="11"/>
    </row>
    <row r="26" spans="1:1" x14ac:dyDescent="0.2">
      <c r="A26" s="11"/>
    </row>
    <row r="27" spans="1:1" x14ac:dyDescent="0.2">
      <c r="A27" s="11"/>
    </row>
    <row r="28" spans="1:1" x14ac:dyDescent="0.2">
      <c r="A28" s="11"/>
    </row>
    <row r="29" spans="1:1" x14ac:dyDescent="0.2">
      <c r="A29" s="11"/>
    </row>
    <row r="30" spans="1:1" x14ac:dyDescent="0.2">
      <c r="A30" s="11"/>
    </row>
    <row r="31" spans="1:1" x14ac:dyDescent="0.2">
      <c r="A31" s="11"/>
    </row>
    <row r="32" spans="1:1" x14ac:dyDescent="0.2">
      <c r="A32" s="11"/>
    </row>
    <row r="33" spans="1:1" x14ac:dyDescent="0.2">
      <c r="A33" s="11"/>
    </row>
    <row r="34" spans="1:1" x14ac:dyDescent="0.2">
      <c r="A34" s="11"/>
    </row>
    <row r="35" spans="1:1" x14ac:dyDescent="0.2">
      <c r="A35" s="11"/>
    </row>
    <row r="36" spans="1:1" x14ac:dyDescent="0.2">
      <c r="A36" s="11"/>
    </row>
    <row r="37" spans="1:1" x14ac:dyDescent="0.2">
      <c r="A37" s="11"/>
    </row>
    <row r="38" spans="1:1" x14ac:dyDescent="0.2">
      <c r="A38" s="11"/>
    </row>
    <row r="39" spans="1:1" x14ac:dyDescent="0.2">
      <c r="A39" s="11"/>
    </row>
    <row r="40" spans="1:1" x14ac:dyDescent="0.2">
      <c r="A40" s="11"/>
    </row>
    <row r="41" spans="1:1" x14ac:dyDescent="0.2">
      <c r="A41" s="11"/>
    </row>
    <row r="42" spans="1:1" x14ac:dyDescent="0.2">
      <c r="A42" s="11"/>
    </row>
    <row r="43" spans="1:1" x14ac:dyDescent="0.2">
      <c r="A43" s="11"/>
    </row>
    <row r="44" spans="1:1" x14ac:dyDescent="0.2">
      <c r="A44" s="11"/>
    </row>
    <row r="45" spans="1:1" x14ac:dyDescent="0.2">
      <c r="A45" s="11"/>
    </row>
    <row r="46" spans="1:1" x14ac:dyDescent="0.2">
      <c r="A46" s="11"/>
    </row>
    <row r="47" spans="1:1" x14ac:dyDescent="0.2">
      <c r="A47" s="11"/>
    </row>
    <row r="48" spans="1:1" x14ac:dyDescent="0.2">
      <c r="A48" s="11"/>
    </row>
    <row r="49" spans="1:1" x14ac:dyDescent="0.2">
      <c r="A49" s="11"/>
    </row>
    <row r="50" spans="1:1" x14ac:dyDescent="0.2">
      <c r="A50" s="11"/>
    </row>
    <row r="51" spans="1:1" x14ac:dyDescent="0.2">
      <c r="A51" s="11"/>
    </row>
    <row r="52" spans="1:1" x14ac:dyDescent="0.2">
      <c r="A52" s="11"/>
    </row>
    <row r="53" spans="1:1" x14ac:dyDescent="0.2">
      <c r="A53" s="11"/>
    </row>
  </sheetData>
  <mergeCells count="19">
    <mergeCell ref="B14:D14"/>
    <mergeCell ref="E14:F14"/>
    <mergeCell ref="B11:F11"/>
    <mergeCell ref="B12:D12"/>
    <mergeCell ref="E12:F12"/>
    <mergeCell ref="B13:D13"/>
    <mergeCell ref="E13:F13"/>
    <mergeCell ref="Q5:S5"/>
    <mergeCell ref="B1:D1"/>
    <mergeCell ref="E1:G1"/>
    <mergeCell ref="H1:J1"/>
    <mergeCell ref="K1:M1"/>
    <mergeCell ref="N1:P1"/>
    <mergeCell ref="Q1:S1"/>
    <mergeCell ref="B5:D5"/>
    <mergeCell ref="E5:G5"/>
    <mergeCell ref="H5:J5"/>
    <mergeCell ref="K5:M5"/>
    <mergeCell ref="N5:P5"/>
  </mergeCells>
  <printOptions horizontalCentered="1" gridLines="1"/>
  <pageMargins left="0" right="0" top="0.75" bottom="0" header="0.3" footer="0.3"/>
  <pageSetup scale="80" orientation="landscape" r:id="rId1"/>
  <headerFooter>
    <oddHeader>&amp;LElectrical Engineering Department&amp;C Budget and Expenditure Projection 2016-17
&amp;R&amp;A</oddHeader>
    <oddFooter>&amp;R&amp;8&amp;D</oddFooter>
  </headerFooter>
  <ignoredErrors>
    <ignoredError sqref="G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0.39997558519241921"/>
  </sheetPr>
  <dimension ref="A1:S52"/>
  <sheetViews>
    <sheetView tabSelected="1" zoomScaleNormal="100" workbookViewId="0">
      <selection activeCell="G34" sqref="G34"/>
    </sheetView>
  </sheetViews>
  <sheetFormatPr defaultColWidth="9.140625" defaultRowHeight="12" x14ac:dyDescent="0.2"/>
  <cols>
    <col min="1" max="1" width="5.7109375" style="3" bestFit="1" customWidth="1"/>
    <col min="2" max="2" width="6.7109375" style="2" customWidth="1"/>
    <col min="3" max="3" width="6" style="2" bestFit="1" customWidth="1"/>
    <col min="4" max="4" width="7.28515625" style="2" bestFit="1" customWidth="1"/>
    <col min="5" max="5" width="5.140625" style="2" bestFit="1" customWidth="1"/>
    <col min="6" max="6" width="6" style="2" bestFit="1" customWidth="1"/>
    <col min="7" max="7" width="7.28515625" style="2" bestFit="1" customWidth="1"/>
    <col min="8" max="8" width="5.140625" style="2" bestFit="1" customWidth="1"/>
    <col min="9" max="9" width="6" style="2" bestFit="1" customWidth="1"/>
    <col min="10" max="10" width="7.28515625" style="2" bestFit="1" customWidth="1"/>
    <col min="11" max="11" width="5.7109375" style="2" bestFit="1" customWidth="1"/>
    <col min="12" max="12" width="6.7109375" style="2" bestFit="1" customWidth="1"/>
    <col min="13" max="13" width="7.85546875" style="2" bestFit="1" customWidth="1"/>
    <col min="14" max="14" width="5.140625" style="2" bestFit="1" customWidth="1"/>
    <col min="15" max="15" width="6" style="2" bestFit="1" customWidth="1"/>
    <col min="16" max="16" width="7.28515625" style="2" bestFit="1" customWidth="1"/>
    <col min="17" max="17" width="5.140625" style="2" bestFit="1" customWidth="1"/>
    <col min="18" max="18" width="6" style="2" bestFit="1" customWidth="1"/>
    <col min="19" max="19" width="7.28515625" style="2" bestFit="1" customWidth="1"/>
    <col min="20" max="16384" width="9.140625" style="2"/>
  </cols>
  <sheetData>
    <row r="1" spans="1:19" s="28" customFormat="1" x14ac:dyDescent="0.2">
      <c r="A1" s="8"/>
      <c r="B1" s="363" t="s">
        <v>6</v>
      </c>
      <c r="C1" s="363"/>
      <c r="D1" s="363"/>
      <c r="E1" s="363" t="s">
        <v>125</v>
      </c>
      <c r="F1" s="363"/>
      <c r="G1" s="363"/>
      <c r="H1" s="363" t="s">
        <v>126</v>
      </c>
      <c r="I1" s="363"/>
      <c r="J1" s="363"/>
      <c r="K1" s="363" t="s">
        <v>127</v>
      </c>
      <c r="L1" s="363"/>
      <c r="M1" s="363"/>
      <c r="N1" s="363" t="s">
        <v>128</v>
      </c>
      <c r="O1" s="363"/>
      <c r="P1" s="363"/>
      <c r="Q1" s="363" t="s">
        <v>129</v>
      </c>
      <c r="R1" s="363"/>
      <c r="S1" s="363"/>
    </row>
    <row r="2" spans="1:19" x14ac:dyDescent="0.2">
      <c r="A2" s="10" t="s">
        <v>39</v>
      </c>
      <c r="B2" s="23" t="s">
        <v>33</v>
      </c>
      <c r="C2" s="23" t="s">
        <v>31</v>
      </c>
      <c r="D2" s="23" t="s">
        <v>32</v>
      </c>
      <c r="E2" s="23" t="s">
        <v>34</v>
      </c>
      <c r="F2" s="23" t="s">
        <v>31</v>
      </c>
      <c r="G2" s="23" t="s">
        <v>32</v>
      </c>
      <c r="H2" s="23" t="s">
        <v>34</v>
      </c>
      <c r="I2" s="23" t="s">
        <v>31</v>
      </c>
      <c r="J2" s="23" t="s">
        <v>32</v>
      </c>
      <c r="K2" s="50" t="s">
        <v>34</v>
      </c>
      <c r="L2" s="50" t="s">
        <v>31</v>
      </c>
      <c r="M2" s="50" t="s">
        <v>32</v>
      </c>
      <c r="N2" s="23" t="s">
        <v>34</v>
      </c>
      <c r="O2" s="23" t="s">
        <v>31</v>
      </c>
      <c r="P2" s="23" t="s">
        <v>32</v>
      </c>
      <c r="Q2" s="23" t="s">
        <v>34</v>
      </c>
      <c r="R2" s="23" t="s">
        <v>31</v>
      </c>
      <c r="S2" s="23" t="s">
        <v>32</v>
      </c>
    </row>
    <row r="3" spans="1:19" x14ac:dyDescent="0.2">
      <c r="A3" s="11" t="s">
        <v>373</v>
      </c>
      <c r="B3" s="52">
        <v>0</v>
      </c>
      <c r="C3" s="52">
        <v>0</v>
      </c>
      <c r="D3" s="52">
        <v>0</v>
      </c>
      <c r="E3" s="214">
        <v>0</v>
      </c>
      <c r="F3" s="214">
        <v>0</v>
      </c>
      <c r="G3" s="214">
        <v>0</v>
      </c>
      <c r="H3" s="214">
        <v>0</v>
      </c>
      <c r="I3" s="214">
        <v>0</v>
      </c>
      <c r="J3" s="214">
        <f>H3-I3</f>
        <v>0</v>
      </c>
      <c r="K3" s="51">
        <v>0</v>
      </c>
      <c r="L3" s="51">
        <v>0</v>
      </c>
      <c r="M3" s="51">
        <f>K3-L3</f>
        <v>0</v>
      </c>
      <c r="N3" s="51">
        <v>0</v>
      </c>
      <c r="O3" s="51">
        <v>0</v>
      </c>
      <c r="P3" s="51">
        <f>N3-O3</f>
        <v>0</v>
      </c>
      <c r="Q3" s="51">
        <v>0</v>
      </c>
      <c r="R3" s="51">
        <v>0</v>
      </c>
      <c r="S3" s="51">
        <f>Q3-R3</f>
        <v>0</v>
      </c>
    </row>
    <row r="4" spans="1:19" s="1" customFormat="1" x14ac:dyDescent="0.2">
      <c r="A4" s="15" t="s">
        <v>34</v>
      </c>
      <c r="B4" s="110">
        <f>SUM(B3:B3)</f>
        <v>0</v>
      </c>
      <c r="C4" s="110">
        <f>SUM(C2:C3)</f>
        <v>0</v>
      </c>
      <c r="D4" s="110">
        <f t="shared" ref="D4:J4" si="0">SUM(D3:D3)</f>
        <v>0</v>
      </c>
      <c r="E4" s="215">
        <f t="shared" si="0"/>
        <v>0</v>
      </c>
      <c r="F4" s="215">
        <f t="shared" si="0"/>
        <v>0</v>
      </c>
      <c r="G4" s="215">
        <f t="shared" si="0"/>
        <v>0</v>
      </c>
      <c r="H4" s="215">
        <f t="shared" si="0"/>
        <v>0</v>
      </c>
      <c r="I4" s="215">
        <f t="shared" si="0"/>
        <v>0</v>
      </c>
      <c r="J4" s="215">
        <f t="shared" si="0"/>
        <v>0</v>
      </c>
      <c r="K4" s="111">
        <f>SUM(K3:K3)</f>
        <v>0</v>
      </c>
      <c r="L4" s="111">
        <f>SUM(L3:L3)</f>
        <v>0</v>
      </c>
      <c r="M4" s="111">
        <f>SUM(M3:M3)</f>
        <v>0</v>
      </c>
      <c r="N4" s="111">
        <f t="shared" ref="N4:S4" si="1">SUM(N3:N3)</f>
        <v>0</v>
      </c>
      <c r="O4" s="111">
        <f t="shared" si="1"/>
        <v>0</v>
      </c>
      <c r="P4" s="111">
        <f t="shared" si="1"/>
        <v>0</v>
      </c>
      <c r="Q4" s="111">
        <f t="shared" si="1"/>
        <v>0</v>
      </c>
      <c r="R4" s="111">
        <f t="shared" si="1"/>
        <v>0</v>
      </c>
      <c r="S4" s="111">
        <f t="shared" si="1"/>
        <v>0</v>
      </c>
    </row>
    <row r="5" spans="1:19" s="28" customFormat="1" ht="12.75" x14ac:dyDescent="0.2">
      <c r="A5" s="11"/>
      <c r="B5" s="363" t="s">
        <v>130</v>
      </c>
      <c r="C5" s="364"/>
      <c r="D5" s="364"/>
      <c r="E5" s="363" t="s">
        <v>131</v>
      </c>
      <c r="F5" s="364"/>
      <c r="G5" s="364"/>
      <c r="H5" s="363" t="s">
        <v>132</v>
      </c>
      <c r="I5" s="364"/>
      <c r="J5" s="364"/>
      <c r="K5" s="363" t="s">
        <v>133</v>
      </c>
      <c r="L5" s="364"/>
      <c r="M5" s="364"/>
      <c r="N5" s="363" t="s">
        <v>15</v>
      </c>
      <c r="O5" s="364"/>
      <c r="P5" s="364"/>
      <c r="Q5" s="363" t="s">
        <v>134</v>
      </c>
      <c r="R5" s="364"/>
      <c r="S5" s="364"/>
    </row>
    <row r="6" spans="1:19" x14ac:dyDescent="0.2">
      <c r="A6" s="10" t="s">
        <v>39</v>
      </c>
      <c r="B6" s="23" t="s">
        <v>34</v>
      </c>
      <c r="C6" s="23" t="s">
        <v>31</v>
      </c>
      <c r="D6" s="23" t="s">
        <v>32</v>
      </c>
      <c r="E6" s="23" t="s">
        <v>34</v>
      </c>
      <c r="F6" s="23" t="s">
        <v>31</v>
      </c>
      <c r="G6" s="23" t="s">
        <v>32</v>
      </c>
      <c r="H6" s="23" t="s">
        <v>34</v>
      </c>
      <c r="I6" s="23" t="s">
        <v>31</v>
      </c>
      <c r="J6" s="23" t="s">
        <v>32</v>
      </c>
      <c r="K6" s="23" t="s">
        <v>34</v>
      </c>
      <c r="L6" s="23" t="s">
        <v>31</v>
      </c>
      <c r="M6" s="23" t="s">
        <v>32</v>
      </c>
      <c r="N6" s="23" t="s">
        <v>34</v>
      </c>
      <c r="O6" s="23" t="s">
        <v>31</v>
      </c>
      <c r="P6" s="23" t="s">
        <v>32</v>
      </c>
      <c r="Q6" s="23" t="s">
        <v>34</v>
      </c>
      <c r="R6" s="23" t="s">
        <v>31</v>
      </c>
      <c r="S6" s="23" t="s">
        <v>32</v>
      </c>
    </row>
    <row r="7" spans="1:19" x14ac:dyDescent="0.2">
      <c r="A7" s="11" t="str">
        <f>A3</f>
        <v>MPP</v>
      </c>
      <c r="B7" s="51">
        <v>0</v>
      </c>
      <c r="C7" s="51">
        <v>0</v>
      </c>
      <c r="D7" s="51">
        <f>B7-C7</f>
        <v>0</v>
      </c>
      <c r="E7" s="51">
        <f>B7</f>
        <v>0</v>
      </c>
      <c r="F7" s="51">
        <f>C7</f>
        <v>0</v>
      </c>
      <c r="G7" s="51">
        <f>E7-F7</f>
        <v>0</v>
      </c>
      <c r="H7" s="51">
        <f>E7</f>
        <v>0</v>
      </c>
      <c r="I7" s="51">
        <f>F7</f>
        <v>0</v>
      </c>
      <c r="J7" s="51">
        <f>H7-I7</f>
        <v>0</v>
      </c>
      <c r="K7" s="51">
        <f>H7</f>
        <v>0</v>
      </c>
      <c r="L7" s="51">
        <f>I7</f>
        <v>0</v>
      </c>
      <c r="M7" s="51">
        <f>K7-L7</f>
        <v>0</v>
      </c>
      <c r="N7" s="51">
        <v>0</v>
      </c>
      <c r="O7" s="51">
        <v>0</v>
      </c>
      <c r="P7" s="51">
        <f>N7-O7</f>
        <v>0</v>
      </c>
      <c r="Q7" s="51">
        <f>N7</f>
        <v>0</v>
      </c>
      <c r="R7" s="51">
        <f>O7</f>
        <v>0</v>
      </c>
      <c r="S7" s="51">
        <f>Q7-R7</f>
        <v>0</v>
      </c>
    </row>
    <row r="8" spans="1:19" x14ac:dyDescent="0.2">
      <c r="A8" s="16" t="s">
        <v>34</v>
      </c>
      <c r="B8" s="111">
        <f t="shared" ref="B8:S8" si="2">SUM(B6:B7)</f>
        <v>0</v>
      </c>
      <c r="C8" s="111">
        <f t="shared" si="2"/>
        <v>0</v>
      </c>
      <c r="D8" s="111">
        <f t="shared" si="2"/>
        <v>0</v>
      </c>
      <c r="E8" s="111">
        <f t="shared" si="2"/>
        <v>0</v>
      </c>
      <c r="F8" s="111">
        <f t="shared" si="2"/>
        <v>0</v>
      </c>
      <c r="G8" s="111">
        <f t="shared" si="2"/>
        <v>0</v>
      </c>
      <c r="H8" s="111">
        <f t="shared" si="2"/>
        <v>0</v>
      </c>
      <c r="I8" s="111">
        <f t="shared" si="2"/>
        <v>0</v>
      </c>
      <c r="J8" s="111">
        <f t="shared" si="2"/>
        <v>0</v>
      </c>
      <c r="K8" s="111">
        <f t="shared" si="2"/>
        <v>0</v>
      </c>
      <c r="L8" s="111">
        <f t="shared" si="2"/>
        <v>0</v>
      </c>
      <c r="M8" s="111">
        <f t="shared" si="2"/>
        <v>0</v>
      </c>
      <c r="N8" s="111">
        <f t="shared" si="2"/>
        <v>0</v>
      </c>
      <c r="O8" s="111">
        <f t="shared" si="2"/>
        <v>0</v>
      </c>
      <c r="P8" s="111">
        <f t="shared" si="2"/>
        <v>0</v>
      </c>
      <c r="Q8" s="111">
        <f t="shared" si="2"/>
        <v>0</v>
      </c>
      <c r="R8" s="111">
        <f t="shared" si="2"/>
        <v>0</v>
      </c>
      <c r="S8" s="111">
        <f t="shared" si="2"/>
        <v>0</v>
      </c>
    </row>
    <row r="9" spans="1:19" x14ac:dyDescent="0.2">
      <c r="A9" s="1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2.75" x14ac:dyDescent="0.2">
      <c r="A10" s="11"/>
      <c r="B10" s="383" t="s">
        <v>65</v>
      </c>
      <c r="C10" s="383"/>
      <c r="D10" s="383"/>
      <c r="E10" s="383"/>
      <c r="F10" s="383"/>
      <c r="G10"/>
      <c r="H10"/>
      <c r="I10"/>
      <c r="J10"/>
      <c r="K10"/>
    </row>
    <row r="11" spans="1:19" ht="12.75" x14ac:dyDescent="0.2">
      <c r="A11" s="11"/>
      <c r="B11" s="375" t="s">
        <v>66</v>
      </c>
      <c r="C11" s="375"/>
      <c r="D11" s="375"/>
      <c r="E11" s="384">
        <f>C8+F8+I8+L8+O8+R8+R4+O4+L4+I4+F4+C4</f>
        <v>0</v>
      </c>
      <c r="F11" s="385"/>
      <c r="G11"/>
      <c r="H11" s="216"/>
      <c r="I11"/>
      <c r="J11"/>
      <c r="K11"/>
    </row>
    <row r="12" spans="1:19" ht="12.75" x14ac:dyDescent="0.2">
      <c r="A12" s="11"/>
      <c r="B12" s="375" t="s">
        <v>67</v>
      </c>
      <c r="C12" s="375"/>
      <c r="D12" s="375"/>
      <c r="E12" s="384">
        <f>D4+G4+J4+M4+P4+S4+S8+P8+M8+J8+G8+D8</f>
        <v>0</v>
      </c>
      <c r="F12" s="385"/>
      <c r="G12"/>
      <c r="H12"/>
      <c r="I12"/>
      <c r="J12"/>
      <c r="K12"/>
    </row>
    <row r="13" spans="1:19" ht="12.75" x14ac:dyDescent="0.2">
      <c r="A13" s="11"/>
      <c r="B13" s="370" t="s">
        <v>42</v>
      </c>
      <c r="C13" s="371"/>
      <c r="D13" s="372"/>
      <c r="E13" s="377">
        <f>E11+E12</f>
        <v>0</v>
      </c>
      <c r="F13" s="378"/>
      <c r="G13"/>
      <c r="H13"/>
      <c r="I13"/>
      <c r="J13"/>
      <c r="K13"/>
    </row>
    <row r="14" spans="1:19" ht="12.75" x14ac:dyDescent="0.2">
      <c r="A14" s="11"/>
      <c r="G14"/>
      <c r="H14"/>
      <c r="I14"/>
      <c r="J14"/>
      <c r="K14"/>
    </row>
    <row r="15" spans="1:19" x14ac:dyDescent="0.2">
      <c r="A15" s="11"/>
    </row>
    <row r="16" spans="1:19" x14ac:dyDescent="0.2">
      <c r="A16" s="11"/>
    </row>
    <row r="17" spans="1:6" x14ac:dyDescent="0.2">
      <c r="A17" s="11"/>
    </row>
    <row r="18" spans="1:6" x14ac:dyDescent="0.2">
      <c r="A18" s="11"/>
      <c r="F18" s="2" t="s">
        <v>47</v>
      </c>
    </row>
    <row r="19" spans="1:6" x14ac:dyDescent="0.2">
      <c r="A19" s="11"/>
    </row>
    <row r="20" spans="1:6" x14ac:dyDescent="0.2">
      <c r="A20" s="11"/>
    </row>
    <row r="21" spans="1:6" x14ac:dyDescent="0.2">
      <c r="A21" s="11"/>
    </row>
    <row r="22" spans="1:6" x14ac:dyDescent="0.2">
      <c r="A22" s="11"/>
    </row>
    <row r="23" spans="1:6" x14ac:dyDescent="0.2">
      <c r="A23" s="11"/>
    </row>
    <row r="24" spans="1:6" x14ac:dyDescent="0.2">
      <c r="A24" s="11"/>
    </row>
    <row r="25" spans="1:6" x14ac:dyDescent="0.2">
      <c r="A25" s="11"/>
    </row>
    <row r="26" spans="1:6" x14ac:dyDescent="0.2">
      <c r="A26" s="11"/>
    </row>
    <row r="27" spans="1:6" x14ac:dyDescent="0.2">
      <c r="A27" s="11"/>
    </row>
    <row r="28" spans="1:6" x14ac:dyDescent="0.2">
      <c r="A28" s="11"/>
    </row>
    <row r="29" spans="1:6" x14ac:dyDescent="0.2">
      <c r="A29" s="11"/>
    </row>
    <row r="30" spans="1:6" x14ac:dyDescent="0.2">
      <c r="A30" s="11"/>
    </row>
    <row r="31" spans="1:6" x14ac:dyDescent="0.2">
      <c r="A31" s="11"/>
    </row>
    <row r="32" spans="1:6" x14ac:dyDescent="0.2">
      <c r="A32" s="11"/>
    </row>
    <row r="33" spans="1:1" x14ac:dyDescent="0.2">
      <c r="A33" s="11"/>
    </row>
    <row r="34" spans="1:1" x14ac:dyDescent="0.2">
      <c r="A34" s="11"/>
    </row>
    <row r="35" spans="1:1" x14ac:dyDescent="0.2">
      <c r="A35" s="11"/>
    </row>
    <row r="36" spans="1:1" x14ac:dyDescent="0.2">
      <c r="A36" s="11"/>
    </row>
    <row r="37" spans="1:1" x14ac:dyDescent="0.2">
      <c r="A37" s="11"/>
    </row>
    <row r="38" spans="1:1" x14ac:dyDescent="0.2">
      <c r="A38" s="11"/>
    </row>
    <row r="39" spans="1:1" x14ac:dyDescent="0.2">
      <c r="A39" s="11"/>
    </row>
    <row r="40" spans="1:1" x14ac:dyDescent="0.2">
      <c r="A40" s="11"/>
    </row>
    <row r="41" spans="1:1" x14ac:dyDescent="0.2">
      <c r="A41" s="11"/>
    </row>
    <row r="42" spans="1:1" x14ac:dyDescent="0.2">
      <c r="A42" s="11"/>
    </row>
    <row r="43" spans="1:1" x14ac:dyDescent="0.2">
      <c r="A43" s="11"/>
    </row>
    <row r="44" spans="1:1" x14ac:dyDescent="0.2">
      <c r="A44" s="11"/>
    </row>
    <row r="45" spans="1:1" x14ac:dyDescent="0.2">
      <c r="A45" s="11"/>
    </row>
    <row r="46" spans="1:1" x14ac:dyDescent="0.2">
      <c r="A46" s="11"/>
    </row>
    <row r="47" spans="1:1" x14ac:dyDescent="0.2">
      <c r="A47" s="11"/>
    </row>
    <row r="48" spans="1:1" x14ac:dyDescent="0.2">
      <c r="A48" s="11"/>
    </row>
    <row r="49" spans="1:1" x14ac:dyDescent="0.2">
      <c r="A49" s="11"/>
    </row>
    <row r="50" spans="1:1" x14ac:dyDescent="0.2">
      <c r="A50" s="11"/>
    </row>
    <row r="51" spans="1:1" x14ac:dyDescent="0.2">
      <c r="A51" s="11"/>
    </row>
    <row r="52" spans="1:1" x14ac:dyDescent="0.2">
      <c r="A52" s="11"/>
    </row>
  </sheetData>
  <mergeCells count="19">
    <mergeCell ref="B11:D11"/>
    <mergeCell ref="Q5:S5"/>
    <mergeCell ref="H1:J1"/>
    <mergeCell ref="B13:D13"/>
    <mergeCell ref="E13:F13"/>
    <mergeCell ref="K1:M1"/>
    <mergeCell ref="N1:P1"/>
    <mergeCell ref="Q1:S1"/>
    <mergeCell ref="B5:D5"/>
    <mergeCell ref="E5:G5"/>
    <mergeCell ref="H5:J5"/>
    <mergeCell ref="B12:D12"/>
    <mergeCell ref="E12:F12"/>
    <mergeCell ref="K5:M5"/>
    <mergeCell ref="N5:P5"/>
    <mergeCell ref="B1:D1"/>
    <mergeCell ref="E1:G1"/>
    <mergeCell ref="E11:F11"/>
    <mergeCell ref="B10:F10"/>
  </mergeCells>
  <printOptions horizontalCentered="1" gridLines="1"/>
  <pageMargins left="0" right="0" top="0.75" bottom="0" header="0.3" footer="0.3"/>
  <pageSetup scale="80" orientation="landscape" r:id="rId1"/>
  <headerFooter>
    <oddHeader>&amp;LElectrical Engineering Department&amp;C Budget and Expenditure Projection 2016-17
&amp;R&amp;A</oddHeader>
    <oddFooter>&amp;R&amp;8&amp;D</oddFooter>
  </headerFooter>
  <ignoredErrors>
    <ignoredError sqref="B6:S6 B4:J4 B8 C5:D5 F5:G5 I5:J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5" tint="0.39997558519241921"/>
  </sheetPr>
  <dimension ref="A1:S44"/>
  <sheetViews>
    <sheetView tabSelected="1" topLeftCell="H1" zoomScaleNormal="100" workbookViewId="0">
      <selection activeCell="G34" sqref="G34"/>
    </sheetView>
  </sheetViews>
  <sheetFormatPr defaultRowHeight="12.75" x14ac:dyDescent="0.2"/>
  <cols>
    <col min="1" max="1" width="8.5703125" style="7" customWidth="1"/>
    <col min="2" max="2" width="9" bestFit="1" customWidth="1"/>
    <col min="3" max="3" width="9.7109375" bestFit="1" customWidth="1"/>
    <col min="4" max="4" width="9" bestFit="1" customWidth="1"/>
    <col min="5" max="5" width="9.7109375" bestFit="1" customWidth="1"/>
    <col min="6" max="10" width="9" bestFit="1" customWidth="1"/>
    <col min="11" max="11" width="10" bestFit="1" customWidth="1"/>
    <col min="12" max="19" width="9" bestFit="1" customWidth="1"/>
  </cols>
  <sheetData>
    <row r="1" spans="1:19" s="34" customFormat="1" x14ac:dyDescent="0.2">
      <c r="A1" s="33"/>
      <c r="B1" s="365" t="s">
        <v>6</v>
      </c>
      <c r="C1" s="365"/>
      <c r="D1" s="365"/>
      <c r="E1" s="365" t="s">
        <v>125</v>
      </c>
      <c r="F1" s="365"/>
      <c r="G1" s="365"/>
      <c r="H1" s="365" t="s">
        <v>126</v>
      </c>
      <c r="I1" s="365"/>
      <c r="J1" s="365"/>
      <c r="K1" s="365" t="s">
        <v>127</v>
      </c>
      <c r="L1" s="365"/>
      <c r="M1" s="365"/>
      <c r="N1" s="365" t="s">
        <v>128</v>
      </c>
      <c r="O1" s="365"/>
      <c r="P1" s="365"/>
      <c r="Q1" s="365" t="s">
        <v>129</v>
      </c>
      <c r="R1" s="365"/>
      <c r="S1" s="365"/>
    </row>
    <row r="2" spans="1:19" x14ac:dyDescent="0.2">
      <c r="B2" s="14" t="s">
        <v>33</v>
      </c>
      <c r="C2" s="14" t="s">
        <v>31</v>
      </c>
      <c r="D2" s="14" t="s">
        <v>32</v>
      </c>
      <c r="E2" s="26" t="s">
        <v>34</v>
      </c>
      <c r="F2" s="26" t="s">
        <v>31</v>
      </c>
      <c r="G2" s="26" t="s">
        <v>32</v>
      </c>
      <c r="H2" s="26" t="s">
        <v>34</v>
      </c>
      <c r="I2" s="26" t="s">
        <v>31</v>
      </c>
      <c r="J2" s="26" t="s">
        <v>32</v>
      </c>
      <c r="K2" s="26" t="s">
        <v>34</v>
      </c>
      <c r="L2" s="26" t="s">
        <v>31</v>
      </c>
      <c r="M2" s="26" t="s">
        <v>32</v>
      </c>
      <c r="N2" s="14" t="s">
        <v>34</v>
      </c>
      <c r="O2" s="14" t="s">
        <v>31</v>
      </c>
      <c r="P2" s="14" t="s">
        <v>32</v>
      </c>
      <c r="Q2" s="14" t="s">
        <v>34</v>
      </c>
      <c r="R2" s="14" t="s">
        <v>31</v>
      </c>
      <c r="S2" s="14" t="s">
        <v>32</v>
      </c>
    </row>
    <row r="3" spans="1:19" x14ac:dyDescent="0.2">
      <c r="A3" s="187" t="s">
        <v>367</v>
      </c>
      <c r="B3" s="207">
        <v>8804.58</v>
      </c>
      <c r="C3" s="207">
        <v>6426</v>
      </c>
      <c r="D3" s="207">
        <f t="shared" ref="D3:D9" si="0">B3-C3</f>
        <v>2378.58</v>
      </c>
      <c r="E3" s="207">
        <f t="shared" ref="E3:F9" si="1">B3</f>
        <v>8804.58</v>
      </c>
      <c r="F3" s="207">
        <f t="shared" si="1"/>
        <v>6426</v>
      </c>
      <c r="G3" s="207">
        <f t="shared" ref="G3:G9" si="2">E3-F3</f>
        <v>2378.58</v>
      </c>
      <c r="H3" s="207">
        <v>8804.58</v>
      </c>
      <c r="I3" s="207">
        <v>6426</v>
      </c>
      <c r="J3" s="207">
        <f t="shared" ref="J3:J8" si="3">H3-I3</f>
        <v>2378.58</v>
      </c>
      <c r="K3" s="207">
        <f>H3</f>
        <v>8804.58</v>
      </c>
      <c r="L3" s="207">
        <f t="shared" ref="L3" si="4">I3</f>
        <v>6426</v>
      </c>
      <c r="M3" s="207">
        <f>K3-L3</f>
        <v>2378.58</v>
      </c>
      <c r="N3" s="207">
        <f>8804.58+91.8</f>
        <v>8896.3799999999992</v>
      </c>
      <c r="O3" s="207">
        <f t="shared" ref="O3" si="5">L3</f>
        <v>6426</v>
      </c>
      <c r="P3" s="207">
        <f>N3-O3</f>
        <v>2470.3799999999992</v>
      </c>
      <c r="Q3" s="207">
        <v>8804.58</v>
      </c>
      <c r="R3" s="207">
        <f t="shared" ref="R3" si="6">O3</f>
        <v>6426</v>
      </c>
      <c r="S3" s="207">
        <f>Q3-R3</f>
        <v>2378.58</v>
      </c>
    </row>
    <row r="4" spans="1:19" x14ac:dyDescent="0.2">
      <c r="A4" s="187" t="s">
        <v>368</v>
      </c>
      <c r="B4" s="17">
        <v>10640.5</v>
      </c>
      <c r="C4" s="17">
        <v>6494</v>
      </c>
      <c r="D4" s="17">
        <f t="shared" si="0"/>
        <v>4146.5</v>
      </c>
      <c r="E4" s="17">
        <f t="shared" si="1"/>
        <v>10640.5</v>
      </c>
      <c r="F4" s="17">
        <f t="shared" si="1"/>
        <v>6494</v>
      </c>
      <c r="G4" s="17">
        <f t="shared" si="2"/>
        <v>4146.5</v>
      </c>
      <c r="H4" s="156">
        <f t="shared" ref="H4:I8" si="7">E4</f>
        <v>10640.5</v>
      </c>
      <c r="I4" s="156">
        <f t="shared" si="7"/>
        <v>6494</v>
      </c>
      <c r="J4" s="156">
        <f t="shared" si="3"/>
        <v>4146.5</v>
      </c>
      <c r="K4" s="311">
        <f t="shared" ref="K4:K9" si="8">H4</f>
        <v>10640.5</v>
      </c>
      <c r="L4" s="311">
        <f t="shared" ref="L4:L9" si="9">I4</f>
        <v>6494</v>
      </c>
      <c r="M4" s="311">
        <f t="shared" ref="M4:M9" si="10">K4-L4</f>
        <v>4146.5</v>
      </c>
      <c r="N4" s="311">
        <f t="shared" ref="N4:N9" si="11">K4</f>
        <v>10640.5</v>
      </c>
      <c r="O4" s="311">
        <f t="shared" ref="O4:O9" si="12">L4</f>
        <v>6494</v>
      </c>
      <c r="P4" s="311">
        <f t="shared" ref="P4:P9" si="13">N4-O4</f>
        <v>4146.5</v>
      </c>
      <c r="Q4" s="311">
        <v>10633.87</v>
      </c>
      <c r="R4" s="311">
        <f t="shared" ref="R4:R9" si="14">O4</f>
        <v>6494</v>
      </c>
      <c r="S4" s="311">
        <f t="shared" ref="S4:S9" si="15">Q4-R4</f>
        <v>4139.8700000000008</v>
      </c>
    </row>
    <row r="5" spans="1:19" x14ac:dyDescent="0.2">
      <c r="A5" s="187" t="s">
        <v>369</v>
      </c>
      <c r="B5" s="17">
        <v>12175.55</v>
      </c>
      <c r="C5" s="17">
        <v>7637</v>
      </c>
      <c r="D5" s="17">
        <f t="shared" si="0"/>
        <v>4538.5499999999993</v>
      </c>
      <c r="E5" s="17">
        <f t="shared" si="1"/>
        <v>12175.55</v>
      </c>
      <c r="F5" s="17">
        <f t="shared" si="1"/>
        <v>7637</v>
      </c>
      <c r="G5" s="17">
        <f t="shared" si="2"/>
        <v>4538.5499999999993</v>
      </c>
      <c r="H5" s="156">
        <v>12175.55</v>
      </c>
      <c r="I5" s="156">
        <v>7637</v>
      </c>
      <c r="J5" s="156">
        <f t="shared" si="3"/>
        <v>4538.5499999999993</v>
      </c>
      <c r="K5" s="311">
        <f t="shared" si="8"/>
        <v>12175.55</v>
      </c>
      <c r="L5" s="311">
        <f t="shared" si="9"/>
        <v>7637</v>
      </c>
      <c r="M5" s="311">
        <f t="shared" si="10"/>
        <v>4538.5499999999993</v>
      </c>
      <c r="N5" s="311">
        <f t="shared" si="11"/>
        <v>12175.55</v>
      </c>
      <c r="O5" s="311">
        <f t="shared" si="12"/>
        <v>7637</v>
      </c>
      <c r="P5" s="311">
        <f t="shared" si="13"/>
        <v>4538.5499999999993</v>
      </c>
      <c r="Q5" s="311">
        <v>12181.05</v>
      </c>
      <c r="R5" s="311">
        <f t="shared" si="14"/>
        <v>7637</v>
      </c>
      <c r="S5" s="311">
        <f t="shared" si="15"/>
        <v>4544.0499999999993</v>
      </c>
    </row>
    <row r="6" spans="1:19" x14ac:dyDescent="0.2">
      <c r="A6" s="187" t="s">
        <v>370</v>
      </c>
      <c r="B6" s="311">
        <v>0</v>
      </c>
      <c r="C6" s="311">
        <v>0</v>
      </c>
      <c r="D6" s="311">
        <f t="shared" ref="D6" si="16">B6-C6</f>
        <v>0</v>
      </c>
      <c r="E6" s="311">
        <f t="shared" ref="E6" si="17">B6</f>
        <v>0</v>
      </c>
      <c r="F6" s="311">
        <f t="shared" ref="F6" si="18">C6</f>
        <v>0</v>
      </c>
      <c r="G6" s="311">
        <f t="shared" ref="G6" si="19">E6-F6</f>
        <v>0</v>
      </c>
      <c r="H6" s="311">
        <v>9406.4599999999991</v>
      </c>
      <c r="I6" s="311">
        <v>7000</v>
      </c>
      <c r="J6" s="311">
        <f t="shared" si="3"/>
        <v>2406.4599999999991</v>
      </c>
      <c r="K6" s="311">
        <f>1360.31+10765.87</f>
        <v>12126.18</v>
      </c>
      <c r="L6" s="311">
        <f t="shared" ref="L6" si="20">I6</f>
        <v>7000</v>
      </c>
      <c r="M6" s="311">
        <f t="shared" ref="M6" si="21">K6-L6</f>
        <v>5126.18</v>
      </c>
      <c r="N6" s="311">
        <f>10853.83+87.96+87.96</f>
        <v>11029.749999999998</v>
      </c>
      <c r="O6" s="311">
        <f t="shared" ref="O6" si="22">L6</f>
        <v>7000</v>
      </c>
      <c r="P6" s="311">
        <f t="shared" ref="P6" si="23">N6-O6</f>
        <v>4029.7499999999982</v>
      </c>
      <c r="Q6" s="311">
        <v>10861.86</v>
      </c>
      <c r="R6" s="311">
        <f t="shared" ref="R6" si="24">O6</f>
        <v>7000</v>
      </c>
      <c r="S6" s="311">
        <f t="shared" ref="S6" si="25">Q6-R6</f>
        <v>3861.8600000000006</v>
      </c>
    </row>
    <row r="7" spans="1:19" x14ac:dyDescent="0.2">
      <c r="A7" s="3" t="s">
        <v>371</v>
      </c>
      <c r="B7" s="169">
        <v>10068.66</v>
      </c>
      <c r="C7" s="169">
        <v>6420</v>
      </c>
      <c r="D7" s="169">
        <f t="shared" si="0"/>
        <v>3648.66</v>
      </c>
      <c r="E7" s="169">
        <v>10068.66</v>
      </c>
      <c r="F7" s="169">
        <f t="shared" si="1"/>
        <v>6420</v>
      </c>
      <c r="G7" s="169">
        <f t="shared" si="2"/>
        <v>3648.66</v>
      </c>
      <c r="H7" s="169">
        <v>10068.66</v>
      </c>
      <c r="I7" s="169">
        <f t="shared" si="7"/>
        <v>6420</v>
      </c>
      <c r="J7" s="169">
        <f t="shared" si="3"/>
        <v>3648.66</v>
      </c>
      <c r="K7" s="311">
        <f t="shared" si="8"/>
        <v>10068.66</v>
      </c>
      <c r="L7" s="311">
        <f t="shared" si="9"/>
        <v>6420</v>
      </c>
      <c r="M7" s="311">
        <f t="shared" si="10"/>
        <v>3648.66</v>
      </c>
      <c r="N7" s="311">
        <f t="shared" si="11"/>
        <v>10068.66</v>
      </c>
      <c r="O7" s="311">
        <f t="shared" si="12"/>
        <v>6420</v>
      </c>
      <c r="P7" s="311">
        <f t="shared" si="13"/>
        <v>3648.66</v>
      </c>
      <c r="Q7" s="311">
        <v>10091.39</v>
      </c>
      <c r="R7" s="311">
        <f t="shared" si="14"/>
        <v>6420</v>
      </c>
      <c r="S7" s="311">
        <f t="shared" si="15"/>
        <v>3671.3899999999994</v>
      </c>
    </row>
    <row r="8" spans="1:19" x14ac:dyDescent="0.2">
      <c r="A8" s="187" t="s">
        <v>374</v>
      </c>
      <c r="B8" s="17">
        <v>9886.16</v>
      </c>
      <c r="C8" s="17">
        <v>6782</v>
      </c>
      <c r="D8" s="17">
        <f t="shared" si="0"/>
        <v>3104.16</v>
      </c>
      <c r="E8" s="17">
        <v>9886.16</v>
      </c>
      <c r="F8" s="17">
        <f t="shared" si="1"/>
        <v>6782</v>
      </c>
      <c r="G8" s="17">
        <f t="shared" si="2"/>
        <v>3104.16</v>
      </c>
      <c r="H8" s="156">
        <v>9886.16</v>
      </c>
      <c r="I8" s="156">
        <f t="shared" si="7"/>
        <v>6782</v>
      </c>
      <c r="J8" s="156">
        <f t="shared" si="3"/>
        <v>3104.16</v>
      </c>
      <c r="K8" s="311">
        <f t="shared" si="8"/>
        <v>9886.16</v>
      </c>
      <c r="L8" s="311">
        <f t="shared" si="9"/>
        <v>6782</v>
      </c>
      <c r="M8" s="311">
        <f t="shared" si="10"/>
        <v>3104.16</v>
      </c>
      <c r="N8" s="311">
        <f t="shared" si="11"/>
        <v>9886.16</v>
      </c>
      <c r="O8" s="311">
        <f t="shared" si="12"/>
        <v>6782</v>
      </c>
      <c r="P8" s="311">
        <f t="shared" si="13"/>
        <v>3104.16</v>
      </c>
      <c r="Q8" s="311">
        <v>9857.89</v>
      </c>
      <c r="R8" s="311">
        <f t="shared" si="14"/>
        <v>6782</v>
      </c>
      <c r="S8" s="311">
        <f t="shared" si="15"/>
        <v>3075.8899999999994</v>
      </c>
    </row>
    <row r="9" spans="1:19" x14ac:dyDescent="0.2">
      <c r="A9" s="3" t="s">
        <v>375</v>
      </c>
      <c r="B9" s="158">
        <v>11174.71</v>
      </c>
      <c r="C9" s="158">
        <v>6898</v>
      </c>
      <c r="D9" s="158">
        <f t="shared" si="0"/>
        <v>4276.7099999999991</v>
      </c>
      <c r="E9" s="158">
        <f t="shared" si="1"/>
        <v>11174.71</v>
      </c>
      <c r="F9" s="158">
        <f t="shared" si="1"/>
        <v>6898</v>
      </c>
      <c r="G9" s="158">
        <f t="shared" si="2"/>
        <v>4276.7099999999991</v>
      </c>
      <c r="H9" s="158">
        <v>11174.71</v>
      </c>
      <c r="I9" s="158">
        <v>6898</v>
      </c>
      <c r="J9" s="158">
        <f t="shared" ref="J9" si="26">H9-I9</f>
        <v>4276.7099999999991</v>
      </c>
      <c r="K9" s="311">
        <f t="shared" si="8"/>
        <v>11174.71</v>
      </c>
      <c r="L9" s="311">
        <f t="shared" si="9"/>
        <v>6898</v>
      </c>
      <c r="M9" s="311">
        <f t="shared" si="10"/>
        <v>4276.7099999999991</v>
      </c>
      <c r="N9" s="311">
        <f t="shared" si="11"/>
        <v>11174.71</v>
      </c>
      <c r="O9" s="311">
        <f t="shared" si="12"/>
        <v>6898</v>
      </c>
      <c r="P9" s="311">
        <f t="shared" si="13"/>
        <v>4276.7099999999991</v>
      </c>
      <c r="Q9" s="311">
        <v>11199.33</v>
      </c>
      <c r="R9" s="311">
        <f t="shared" si="14"/>
        <v>6898</v>
      </c>
      <c r="S9" s="311">
        <f t="shared" si="15"/>
        <v>4301.33</v>
      </c>
    </row>
    <row r="10" spans="1:19" x14ac:dyDescent="0.2">
      <c r="A10" s="112" t="s">
        <v>34</v>
      </c>
      <c r="B10" s="135">
        <f>SUM(B3:B9)</f>
        <v>62750.159999999996</v>
      </c>
      <c r="C10" s="135">
        <f t="shared" ref="C10:S10" si="27">SUM(C3:C9)</f>
        <v>40657</v>
      </c>
      <c r="D10" s="135">
        <f t="shared" si="27"/>
        <v>22093.159999999996</v>
      </c>
      <c r="E10" s="135">
        <f t="shared" si="27"/>
        <v>62750.159999999996</v>
      </c>
      <c r="F10" s="135">
        <f t="shared" si="27"/>
        <v>40657</v>
      </c>
      <c r="G10" s="135">
        <f t="shared" si="27"/>
        <v>22093.159999999996</v>
      </c>
      <c r="H10" s="135">
        <f t="shared" si="27"/>
        <v>72156.62</v>
      </c>
      <c r="I10" s="135">
        <f t="shared" si="27"/>
        <v>47657</v>
      </c>
      <c r="J10" s="135">
        <f t="shared" si="27"/>
        <v>24499.62</v>
      </c>
      <c r="K10" s="135">
        <f t="shared" si="27"/>
        <v>74876.34</v>
      </c>
      <c r="L10" s="135">
        <f t="shared" si="27"/>
        <v>47657</v>
      </c>
      <c r="M10" s="135">
        <f t="shared" si="27"/>
        <v>27219.34</v>
      </c>
      <c r="N10" s="135">
        <f t="shared" si="27"/>
        <v>73871.709999999992</v>
      </c>
      <c r="O10" s="135">
        <f t="shared" si="27"/>
        <v>47657</v>
      </c>
      <c r="P10" s="135">
        <f t="shared" si="27"/>
        <v>26214.709999999995</v>
      </c>
      <c r="Q10" s="135">
        <f t="shared" si="27"/>
        <v>73629.97</v>
      </c>
      <c r="R10" s="135">
        <f t="shared" si="27"/>
        <v>47657</v>
      </c>
      <c r="S10" s="135">
        <f t="shared" si="27"/>
        <v>25972.97</v>
      </c>
    </row>
    <row r="11" spans="1:19" x14ac:dyDescent="0.2">
      <c r="A11" s="136" t="s">
        <v>240</v>
      </c>
      <c r="B11" s="137">
        <f>'Part-time Lecturers'!B21</f>
        <v>17457.96</v>
      </c>
      <c r="C11" s="137">
        <f>'Part-time Lecturers'!C21</f>
        <v>14811.66</v>
      </c>
      <c r="D11" s="137">
        <f>'Part-time Lecturers'!D21</f>
        <v>2646.3000000000011</v>
      </c>
      <c r="E11" s="137">
        <f>'Part-time Lecturers'!E21</f>
        <v>13598.45</v>
      </c>
      <c r="F11" s="137">
        <f>'Part-time Lecturers'!F21</f>
        <v>11007.33</v>
      </c>
      <c r="G11" s="137">
        <f>'Part-time Lecturers'!G21</f>
        <v>2591.1200000000003</v>
      </c>
      <c r="H11" s="137">
        <f>'Part-time Lecturers'!H21</f>
        <v>20350.150000000001</v>
      </c>
      <c r="I11" s="137">
        <f>'Part-time Lecturers'!I21</f>
        <v>17946.27</v>
      </c>
      <c r="J11" s="137">
        <f>'Part-time Lecturers'!J21</f>
        <v>2403.88</v>
      </c>
      <c r="K11" s="137">
        <f>'Part-time Lecturers'!K21</f>
        <v>22612.27</v>
      </c>
      <c r="L11" s="137">
        <f>'Part-time Lecturers'!L21</f>
        <v>18852.449999999997</v>
      </c>
      <c r="M11" s="137">
        <f>'Part-time Lecturers'!M21</f>
        <v>3759.8200000000006</v>
      </c>
      <c r="N11" s="137">
        <f>'Part-time Lecturers'!N21</f>
        <v>23525.72</v>
      </c>
      <c r="O11" s="137">
        <f>'Part-time Lecturers'!O21</f>
        <v>18487.269999999997</v>
      </c>
      <c r="P11" s="137">
        <f>'Part-time Lecturers'!P21</f>
        <v>5038.45</v>
      </c>
      <c r="Q11" s="137">
        <f>'Part-time Lecturers'!Q21</f>
        <v>22846.07</v>
      </c>
      <c r="R11" s="137">
        <f>'Part-time Lecturers'!R21</f>
        <v>18464.59</v>
      </c>
      <c r="S11" s="137">
        <f>'Part-time Lecturers'!S21</f>
        <v>4381.4800000000005</v>
      </c>
    </row>
    <row r="12" spans="1:19" x14ac:dyDescent="0.2">
      <c r="A12" s="138" t="s">
        <v>241</v>
      </c>
      <c r="B12" s="134">
        <f>SUM(B10:B11)</f>
        <v>80208.12</v>
      </c>
      <c r="C12" s="134">
        <f t="shared" ref="C12:S12" si="28">SUM(C10:C11)</f>
        <v>55468.66</v>
      </c>
      <c r="D12" s="134">
        <f t="shared" si="28"/>
        <v>24739.46</v>
      </c>
      <c r="E12" s="134">
        <f>SUM(E10:E11)</f>
        <v>76348.61</v>
      </c>
      <c r="F12" s="134">
        <f t="shared" si="28"/>
        <v>51664.33</v>
      </c>
      <c r="G12" s="134">
        <f t="shared" si="28"/>
        <v>24684.279999999995</v>
      </c>
      <c r="H12" s="134">
        <f t="shared" si="28"/>
        <v>92506.76999999999</v>
      </c>
      <c r="I12" s="134">
        <f t="shared" si="28"/>
        <v>65603.27</v>
      </c>
      <c r="J12" s="134">
        <f t="shared" si="28"/>
        <v>26903.5</v>
      </c>
      <c r="K12" s="134">
        <f t="shared" si="28"/>
        <v>97488.61</v>
      </c>
      <c r="L12" s="134">
        <f t="shared" si="28"/>
        <v>66509.45</v>
      </c>
      <c r="M12" s="134">
        <f t="shared" si="28"/>
        <v>30979.16</v>
      </c>
      <c r="N12" s="134">
        <f t="shared" si="28"/>
        <v>97397.43</v>
      </c>
      <c r="O12" s="134">
        <f t="shared" si="28"/>
        <v>66144.26999999999</v>
      </c>
      <c r="P12" s="134">
        <f t="shared" si="28"/>
        <v>31253.159999999996</v>
      </c>
      <c r="Q12" s="134">
        <f t="shared" si="28"/>
        <v>96476.040000000008</v>
      </c>
      <c r="R12" s="134">
        <f t="shared" si="28"/>
        <v>66121.59</v>
      </c>
      <c r="S12" s="134">
        <f t="shared" si="28"/>
        <v>30354.45</v>
      </c>
    </row>
    <row r="13" spans="1:19" x14ac:dyDescent="0.2">
      <c r="B13" s="390" t="s">
        <v>130</v>
      </c>
      <c r="C13" s="390"/>
      <c r="D13" s="390"/>
      <c r="E13" s="390" t="s">
        <v>131</v>
      </c>
      <c r="F13" s="390"/>
      <c r="G13" s="390"/>
      <c r="H13" s="390" t="s">
        <v>132</v>
      </c>
      <c r="I13" s="390"/>
      <c r="J13" s="390"/>
      <c r="K13" s="390" t="s">
        <v>133</v>
      </c>
      <c r="L13" s="390"/>
      <c r="M13" s="390"/>
      <c r="N13" s="390" t="s">
        <v>15</v>
      </c>
      <c r="O13" s="390"/>
      <c r="P13" s="390"/>
      <c r="Q13" s="390" t="s">
        <v>134</v>
      </c>
      <c r="R13" s="390"/>
      <c r="S13" s="390"/>
    </row>
    <row r="14" spans="1:19" x14ac:dyDescent="0.2">
      <c r="B14" s="14" t="s">
        <v>34</v>
      </c>
      <c r="C14" s="14" t="s">
        <v>31</v>
      </c>
      <c r="D14" s="14" t="s">
        <v>32</v>
      </c>
      <c r="E14" s="14" t="s">
        <v>34</v>
      </c>
      <c r="F14" s="14" t="s">
        <v>31</v>
      </c>
      <c r="G14" s="14" t="s">
        <v>32</v>
      </c>
      <c r="H14" s="14" t="s">
        <v>34</v>
      </c>
      <c r="I14" s="14" t="s">
        <v>31</v>
      </c>
      <c r="J14" s="14" t="s">
        <v>32</v>
      </c>
      <c r="K14" s="14" t="s">
        <v>34</v>
      </c>
      <c r="L14" s="14" t="s">
        <v>31</v>
      </c>
      <c r="M14" s="14" t="s">
        <v>32</v>
      </c>
      <c r="N14" s="14" t="s">
        <v>34</v>
      </c>
      <c r="O14" s="14" t="s">
        <v>31</v>
      </c>
      <c r="P14" s="14" t="s">
        <v>32</v>
      </c>
      <c r="Q14" s="14" t="s">
        <v>34</v>
      </c>
      <c r="R14" s="14" t="s">
        <v>31</v>
      </c>
      <c r="S14" s="14" t="s">
        <v>32</v>
      </c>
    </row>
    <row r="15" spans="1:19" x14ac:dyDescent="0.2">
      <c r="A15" s="187" t="s">
        <v>367</v>
      </c>
      <c r="B15" s="207">
        <f t="shared" ref="B15:C18" si="29">Q3</f>
        <v>8804.58</v>
      </c>
      <c r="C15" s="207">
        <f t="shared" si="29"/>
        <v>6426</v>
      </c>
      <c r="D15" s="207">
        <f t="shared" ref="D15" si="30">B15-C15</f>
        <v>2378.58</v>
      </c>
      <c r="E15" s="207">
        <f>B15</f>
        <v>8804.58</v>
      </c>
      <c r="F15" s="207">
        <f>C15</f>
        <v>6426</v>
      </c>
      <c r="G15" s="207">
        <f>E15-F15</f>
        <v>2378.58</v>
      </c>
      <c r="H15" s="311">
        <f>8804.73+0.3</f>
        <v>8805.0299999999988</v>
      </c>
      <c r="I15" s="311">
        <f t="shared" ref="H15:I21" si="31">F15</f>
        <v>6426</v>
      </c>
      <c r="J15" s="311">
        <f t="shared" ref="J15:J21" si="32">H15-I15</f>
        <v>2379.0299999999988</v>
      </c>
      <c r="K15" s="311">
        <v>8804.73</v>
      </c>
      <c r="L15" s="311">
        <f t="shared" ref="K15:L21" si="33">I15</f>
        <v>6426</v>
      </c>
      <c r="M15" s="311">
        <f t="shared" ref="M15:M21" si="34">K15-L15</f>
        <v>2378.7299999999996</v>
      </c>
      <c r="N15" s="311">
        <f t="shared" ref="N15:O21" si="35">K15</f>
        <v>8804.73</v>
      </c>
      <c r="O15" s="311">
        <f t="shared" si="35"/>
        <v>6426</v>
      </c>
      <c r="P15" s="311">
        <f t="shared" ref="P15:P21" si="36">N15-O15</f>
        <v>2378.7299999999996</v>
      </c>
      <c r="Q15" s="311">
        <f t="shared" ref="Q15:R21" si="37">N15</f>
        <v>8804.73</v>
      </c>
      <c r="R15" s="311">
        <f t="shared" si="37"/>
        <v>6426</v>
      </c>
      <c r="S15" s="311">
        <f t="shared" ref="S15:S21" si="38">Q15-R15</f>
        <v>2378.7299999999996</v>
      </c>
    </row>
    <row r="16" spans="1:19" x14ac:dyDescent="0.2">
      <c r="A16" s="187" t="s">
        <v>368</v>
      </c>
      <c r="B16" s="311">
        <v>10646.15</v>
      </c>
      <c r="C16" s="311">
        <f t="shared" si="29"/>
        <v>6494</v>
      </c>
      <c r="D16" s="311">
        <f t="shared" ref="D16:D21" si="39">B16-C16</f>
        <v>4152.1499999999996</v>
      </c>
      <c r="E16" s="311">
        <f t="shared" ref="E16:E21" si="40">B16</f>
        <v>10646.15</v>
      </c>
      <c r="F16" s="311">
        <f t="shared" ref="F16:F21" si="41">C16</f>
        <v>6494</v>
      </c>
      <c r="G16" s="311">
        <f t="shared" ref="G16:G21" si="42">E16-F16</f>
        <v>4152.1499999999996</v>
      </c>
      <c r="H16" s="311">
        <f t="shared" si="31"/>
        <v>10646.15</v>
      </c>
      <c r="I16" s="311">
        <f t="shared" si="31"/>
        <v>6494</v>
      </c>
      <c r="J16" s="311">
        <f t="shared" si="32"/>
        <v>4152.1499999999996</v>
      </c>
      <c r="K16" s="311">
        <f t="shared" si="33"/>
        <v>10646.15</v>
      </c>
      <c r="L16" s="311">
        <f t="shared" si="33"/>
        <v>6494</v>
      </c>
      <c r="M16" s="311">
        <f t="shared" si="34"/>
        <v>4152.1499999999996</v>
      </c>
      <c r="N16" s="311">
        <f t="shared" si="35"/>
        <v>10646.15</v>
      </c>
      <c r="O16" s="311">
        <f t="shared" si="35"/>
        <v>6494</v>
      </c>
      <c r="P16" s="311">
        <f t="shared" si="36"/>
        <v>4152.1499999999996</v>
      </c>
      <c r="Q16" s="311">
        <f t="shared" si="37"/>
        <v>10646.15</v>
      </c>
      <c r="R16" s="311">
        <f t="shared" si="37"/>
        <v>6494</v>
      </c>
      <c r="S16" s="311">
        <f t="shared" si="38"/>
        <v>4152.1499999999996</v>
      </c>
    </row>
    <row r="17" spans="1:19" x14ac:dyDescent="0.2">
      <c r="A17" s="187" t="s">
        <v>369</v>
      </c>
      <c r="B17" s="311">
        <f>413.1+12181.05</f>
        <v>12594.15</v>
      </c>
      <c r="C17" s="311">
        <f t="shared" si="29"/>
        <v>7637</v>
      </c>
      <c r="D17" s="311">
        <f t="shared" si="39"/>
        <v>4957.1499999999996</v>
      </c>
      <c r="E17" s="311">
        <v>12181.05</v>
      </c>
      <c r="F17" s="311">
        <f t="shared" si="41"/>
        <v>7637</v>
      </c>
      <c r="G17" s="311">
        <f t="shared" si="42"/>
        <v>4544.0499999999993</v>
      </c>
      <c r="H17" s="311">
        <f>12181.2+0.3</f>
        <v>12181.5</v>
      </c>
      <c r="I17" s="311">
        <f t="shared" si="31"/>
        <v>7637</v>
      </c>
      <c r="J17" s="311">
        <f t="shared" si="32"/>
        <v>4544.5</v>
      </c>
      <c r="K17" s="311">
        <v>12181.2</v>
      </c>
      <c r="L17" s="311">
        <f t="shared" si="33"/>
        <v>7637</v>
      </c>
      <c r="M17" s="311">
        <f t="shared" si="34"/>
        <v>4544.2000000000007</v>
      </c>
      <c r="N17" s="311">
        <f t="shared" si="35"/>
        <v>12181.2</v>
      </c>
      <c r="O17" s="311">
        <f t="shared" si="35"/>
        <v>7637</v>
      </c>
      <c r="P17" s="311">
        <f t="shared" si="36"/>
        <v>4544.2000000000007</v>
      </c>
      <c r="Q17" s="311">
        <f t="shared" si="37"/>
        <v>12181.2</v>
      </c>
      <c r="R17" s="311">
        <f t="shared" si="37"/>
        <v>7637</v>
      </c>
      <c r="S17" s="311">
        <f t="shared" si="38"/>
        <v>4544.2000000000007</v>
      </c>
    </row>
    <row r="18" spans="1:19" x14ac:dyDescent="0.2">
      <c r="A18" s="187" t="s">
        <v>370</v>
      </c>
      <c r="B18" s="311">
        <f t="shared" si="29"/>
        <v>10861.86</v>
      </c>
      <c r="C18" s="311">
        <f t="shared" si="29"/>
        <v>7000</v>
      </c>
      <c r="D18" s="311">
        <f t="shared" si="39"/>
        <v>3861.8600000000006</v>
      </c>
      <c r="E18" s="311">
        <f t="shared" si="40"/>
        <v>10861.86</v>
      </c>
      <c r="F18" s="311">
        <f t="shared" si="41"/>
        <v>7000</v>
      </c>
      <c r="G18" s="311">
        <f t="shared" si="42"/>
        <v>3861.8600000000006</v>
      </c>
      <c r="H18" s="311">
        <f>10862.01+0.3</f>
        <v>10862.31</v>
      </c>
      <c r="I18" s="311">
        <v>7000</v>
      </c>
      <c r="J18" s="311">
        <f>H18-I18</f>
        <v>3862.3099999999995</v>
      </c>
      <c r="K18" s="311">
        <v>10862.01</v>
      </c>
      <c r="L18" s="311">
        <f t="shared" si="33"/>
        <v>7000</v>
      </c>
      <c r="M18" s="311">
        <f t="shared" si="34"/>
        <v>3862.01</v>
      </c>
      <c r="N18" s="311">
        <f t="shared" si="35"/>
        <v>10862.01</v>
      </c>
      <c r="O18" s="311">
        <f t="shared" si="35"/>
        <v>7000</v>
      </c>
      <c r="P18" s="311">
        <f t="shared" si="36"/>
        <v>3862.01</v>
      </c>
      <c r="Q18" s="311">
        <f t="shared" si="37"/>
        <v>10862.01</v>
      </c>
      <c r="R18" s="311">
        <f t="shared" si="37"/>
        <v>7000</v>
      </c>
      <c r="S18" s="311">
        <f t="shared" si="38"/>
        <v>3862.01</v>
      </c>
    </row>
    <row r="19" spans="1:19" x14ac:dyDescent="0.2">
      <c r="A19" s="3" t="s">
        <v>371</v>
      </c>
      <c r="B19" s="311">
        <f t="shared" ref="B19:B21" si="43">Q7</f>
        <v>10091.39</v>
      </c>
      <c r="C19" s="311">
        <f>R7</f>
        <v>6420</v>
      </c>
      <c r="D19" s="311">
        <f t="shared" si="39"/>
        <v>3671.3899999999994</v>
      </c>
      <c r="E19" s="311">
        <f t="shared" si="40"/>
        <v>10091.39</v>
      </c>
      <c r="F19" s="311">
        <f t="shared" si="41"/>
        <v>6420</v>
      </c>
      <c r="G19" s="311">
        <f t="shared" si="42"/>
        <v>3671.3899999999994</v>
      </c>
      <c r="H19" s="311">
        <f>10091.54+0.3</f>
        <v>10091.84</v>
      </c>
      <c r="I19" s="311">
        <f t="shared" si="31"/>
        <v>6420</v>
      </c>
      <c r="J19" s="311">
        <f t="shared" si="32"/>
        <v>3671.84</v>
      </c>
      <c r="K19" s="311">
        <v>10091.540000000001</v>
      </c>
      <c r="L19" s="311">
        <f t="shared" si="33"/>
        <v>6420</v>
      </c>
      <c r="M19" s="311">
        <f t="shared" si="34"/>
        <v>3671.5400000000009</v>
      </c>
      <c r="N19" s="311">
        <f t="shared" si="35"/>
        <v>10091.540000000001</v>
      </c>
      <c r="O19" s="311">
        <f t="shared" si="35"/>
        <v>6420</v>
      </c>
      <c r="P19" s="311">
        <f t="shared" si="36"/>
        <v>3671.5400000000009</v>
      </c>
      <c r="Q19" s="311">
        <f t="shared" si="37"/>
        <v>10091.540000000001</v>
      </c>
      <c r="R19" s="311">
        <f t="shared" si="37"/>
        <v>6420</v>
      </c>
      <c r="S19" s="311">
        <f t="shared" si="38"/>
        <v>3671.5400000000009</v>
      </c>
    </row>
    <row r="20" spans="1:19" x14ac:dyDescent="0.2">
      <c r="A20" s="187" t="s">
        <v>374</v>
      </c>
      <c r="B20" s="311">
        <f t="shared" si="43"/>
        <v>9857.89</v>
      </c>
      <c r="C20" s="311">
        <f>R8</f>
        <v>6782</v>
      </c>
      <c r="D20" s="311">
        <f t="shared" si="39"/>
        <v>3075.8899999999994</v>
      </c>
      <c r="E20" s="311">
        <f t="shared" si="40"/>
        <v>9857.89</v>
      </c>
      <c r="F20" s="311">
        <f t="shared" si="41"/>
        <v>6782</v>
      </c>
      <c r="G20" s="311">
        <f t="shared" si="42"/>
        <v>3075.8899999999994</v>
      </c>
      <c r="H20" s="311">
        <f>9858.04+0.3</f>
        <v>9858.34</v>
      </c>
      <c r="I20" s="311">
        <f t="shared" si="31"/>
        <v>6782</v>
      </c>
      <c r="J20" s="311">
        <f t="shared" si="32"/>
        <v>3076.34</v>
      </c>
      <c r="K20" s="311">
        <v>9858.0400000000009</v>
      </c>
      <c r="L20" s="311">
        <f t="shared" si="33"/>
        <v>6782</v>
      </c>
      <c r="M20" s="311">
        <f t="shared" si="34"/>
        <v>3076.0400000000009</v>
      </c>
      <c r="N20" s="311">
        <f t="shared" si="35"/>
        <v>9858.0400000000009</v>
      </c>
      <c r="O20" s="311">
        <f t="shared" si="35"/>
        <v>6782</v>
      </c>
      <c r="P20" s="311">
        <f t="shared" si="36"/>
        <v>3076.0400000000009</v>
      </c>
      <c r="Q20" s="311">
        <f t="shared" si="37"/>
        <v>9858.0400000000009</v>
      </c>
      <c r="R20" s="311">
        <f t="shared" si="37"/>
        <v>6782</v>
      </c>
      <c r="S20" s="311">
        <f t="shared" si="38"/>
        <v>3076.0400000000009</v>
      </c>
    </row>
    <row r="21" spans="1:19" x14ac:dyDescent="0.2">
      <c r="A21" s="3" t="s">
        <v>375</v>
      </c>
      <c r="B21" s="311">
        <f t="shared" si="43"/>
        <v>11199.33</v>
      </c>
      <c r="C21" s="311">
        <f>R9</f>
        <v>6898</v>
      </c>
      <c r="D21" s="311">
        <f t="shared" si="39"/>
        <v>4301.33</v>
      </c>
      <c r="E21" s="311">
        <f t="shared" si="40"/>
        <v>11199.33</v>
      </c>
      <c r="F21" s="311">
        <f t="shared" si="41"/>
        <v>6898</v>
      </c>
      <c r="G21" s="311">
        <f t="shared" si="42"/>
        <v>4301.33</v>
      </c>
      <c r="H21" s="311">
        <f>11199.48+0.3</f>
        <v>11199.779999999999</v>
      </c>
      <c r="I21" s="311">
        <f t="shared" si="31"/>
        <v>6898</v>
      </c>
      <c r="J21" s="311">
        <f t="shared" si="32"/>
        <v>4301.7799999999988</v>
      </c>
      <c r="K21" s="311">
        <v>11199.48</v>
      </c>
      <c r="L21" s="311">
        <f t="shared" si="33"/>
        <v>6898</v>
      </c>
      <c r="M21" s="311">
        <f t="shared" si="34"/>
        <v>4301.4799999999996</v>
      </c>
      <c r="N21" s="311">
        <f t="shared" si="35"/>
        <v>11199.48</v>
      </c>
      <c r="O21" s="311">
        <f t="shared" si="35"/>
        <v>6898</v>
      </c>
      <c r="P21" s="311">
        <f t="shared" si="36"/>
        <v>4301.4799999999996</v>
      </c>
      <c r="Q21" s="311">
        <f t="shared" si="37"/>
        <v>11199.48</v>
      </c>
      <c r="R21" s="311">
        <f t="shared" si="37"/>
        <v>6898</v>
      </c>
      <c r="S21" s="311">
        <f t="shared" si="38"/>
        <v>4301.4799999999996</v>
      </c>
    </row>
    <row r="22" spans="1:19" x14ac:dyDescent="0.2">
      <c r="A22" s="112" t="s">
        <v>34</v>
      </c>
      <c r="B22" s="105">
        <f>SUM(B15:B21)</f>
        <v>74055.349999999991</v>
      </c>
      <c r="C22" s="352">
        <f t="shared" ref="C22:S22" si="44">SUM(C15:C21)</f>
        <v>47657</v>
      </c>
      <c r="D22" s="352">
        <f t="shared" si="44"/>
        <v>26398.35</v>
      </c>
      <c r="E22" s="352">
        <f t="shared" si="44"/>
        <v>73642.25</v>
      </c>
      <c r="F22" s="352">
        <f t="shared" si="44"/>
        <v>47657</v>
      </c>
      <c r="G22" s="352">
        <f t="shared" si="44"/>
        <v>25985.25</v>
      </c>
      <c r="H22" s="352">
        <f t="shared" si="44"/>
        <v>73644.95</v>
      </c>
      <c r="I22" s="352">
        <f t="shared" si="44"/>
        <v>47657</v>
      </c>
      <c r="J22" s="352">
        <f t="shared" si="44"/>
        <v>25987.949999999997</v>
      </c>
      <c r="K22" s="352">
        <f t="shared" si="44"/>
        <v>73643.149999999994</v>
      </c>
      <c r="L22" s="352">
        <f t="shared" si="44"/>
        <v>47657</v>
      </c>
      <c r="M22" s="352">
        <f t="shared" si="44"/>
        <v>25986.15</v>
      </c>
      <c r="N22" s="352">
        <f t="shared" si="44"/>
        <v>73643.149999999994</v>
      </c>
      <c r="O22" s="352">
        <f t="shared" si="44"/>
        <v>47657</v>
      </c>
      <c r="P22" s="352">
        <f t="shared" si="44"/>
        <v>25986.15</v>
      </c>
      <c r="Q22" s="352">
        <f t="shared" si="44"/>
        <v>73643.149999999994</v>
      </c>
      <c r="R22" s="352">
        <f t="shared" si="44"/>
        <v>47657</v>
      </c>
      <c r="S22" s="352">
        <f t="shared" si="44"/>
        <v>25986.15</v>
      </c>
    </row>
    <row r="23" spans="1:19" x14ac:dyDescent="0.2">
      <c r="A23" s="136" t="s">
        <v>240</v>
      </c>
      <c r="B23" s="134">
        <f>'Part-time Lecturers'!B41</f>
        <v>22868.879999999997</v>
      </c>
      <c r="C23" s="134">
        <f>'Part-time Lecturers'!C41</f>
        <v>18487.07</v>
      </c>
      <c r="D23" s="134">
        <f>'Part-time Lecturers'!D41</f>
        <v>4381.8099999999995</v>
      </c>
      <c r="E23" s="134">
        <f>'Part-time Lecturers'!E41</f>
        <v>22868.879999999997</v>
      </c>
      <c r="F23" s="134">
        <f>'Part-time Lecturers'!F41</f>
        <v>18487.07</v>
      </c>
      <c r="G23" s="134">
        <f>'Part-time Lecturers'!G41</f>
        <v>4381.8099999999995</v>
      </c>
      <c r="H23" s="134">
        <f>'Part-time Lecturers'!H41</f>
        <v>22877.03</v>
      </c>
      <c r="I23" s="134">
        <f>'Part-time Lecturers'!I41</f>
        <v>18487.07</v>
      </c>
      <c r="J23" s="134">
        <f>'Part-time Lecturers'!J41</f>
        <v>4389.96</v>
      </c>
      <c r="K23" s="134">
        <f>'Part-time Lecturers'!K41</f>
        <v>20027.410000000003</v>
      </c>
      <c r="L23" s="134">
        <f>'Part-time Lecturers'!L41</f>
        <v>17590.370000000003</v>
      </c>
      <c r="M23" s="134">
        <f>'Part-time Lecturers'!M41</f>
        <v>2437.04</v>
      </c>
      <c r="N23" s="134">
        <f>'Part-time Lecturers'!N41</f>
        <v>19679.43</v>
      </c>
      <c r="O23" s="134">
        <f>'Part-time Lecturers'!O41</f>
        <v>16794.46</v>
      </c>
      <c r="P23" s="134">
        <f>'Part-time Lecturers'!P41</f>
        <v>2884.9700000000003</v>
      </c>
      <c r="Q23" s="134">
        <f>'Part-time Lecturers'!Q41</f>
        <v>19679.43</v>
      </c>
      <c r="R23" s="134">
        <f>'Part-time Lecturers'!R41</f>
        <v>16794.46</v>
      </c>
      <c r="S23" s="134">
        <f>'Part-time Lecturers'!S41</f>
        <v>2884.9700000000003</v>
      </c>
    </row>
    <row r="24" spans="1:19" x14ac:dyDescent="0.2">
      <c r="A24" s="112" t="s">
        <v>241</v>
      </c>
      <c r="B24" s="134">
        <f>SUM(B22:B23)</f>
        <v>96924.229999999981</v>
      </c>
      <c r="C24" s="134">
        <f t="shared" ref="C24:S24" si="45">SUM(C22:C23)</f>
        <v>66144.070000000007</v>
      </c>
      <c r="D24" s="134">
        <f t="shared" si="45"/>
        <v>30780.159999999996</v>
      </c>
      <c r="E24" s="134">
        <f t="shared" si="45"/>
        <v>96511.13</v>
      </c>
      <c r="F24" s="134">
        <f t="shared" si="45"/>
        <v>66144.070000000007</v>
      </c>
      <c r="G24" s="134">
        <f t="shared" si="45"/>
        <v>30367.059999999998</v>
      </c>
      <c r="H24" s="134">
        <f t="shared" si="45"/>
        <v>96521.98</v>
      </c>
      <c r="I24" s="134">
        <f t="shared" si="45"/>
        <v>66144.070000000007</v>
      </c>
      <c r="J24" s="134">
        <f t="shared" si="45"/>
        <v>30377.909999999996</v>
      </c>
      <c r="K24" s="134">
        <f>SUM(K22:K23)</f>
        <v>93670.56</v>
      </c>
      <c r="L24" s="134">
        <f t="shared" si="45"/>
        <v>65247.37</v>
      </c>
      <c r="M24" s="134">
        <f t="shared" si="45"/>
        <v>28423.190000000002</v>
      </c>
      <c r="N24" s="134">
        <f t="shared" si="45"/>
        <v>93322.579999999987</v>
      </c>
      <c r="O24" s="134">
        <f t="shared" si="45"/>
        <v>64451.46</v>
      </c>
      <c r="P24" s="134">
        <f t="shared" si="45"/>
        <v>28871.120000000003</v>
      </c>
      <c r="Q24" s="134">
        <f>SUM(Q22:Q23)</f>
        <v>93322.579999999987</v>
      </c>
      <c r="R24" s="134">
        <f t="shared" si="45"/>
        <v>64451.46</v>
      </c>
      <c r="S24" s="134">
        <f t="shared" si="45"/>
        <v>28871.120000000003</v>
      </c>
    </row>
    <row r="25" spans="1:19" x14ac:dyDescent="0.2">
      <c r="B25" s="375" t="s">
        <v>106</v>
      </c>
      <c r="C25" s="375"/>
      <c r="D25" s="375"/>
      <c r="E25" s="384">
        <f>C10+F10+I10+L10+O10+R10+R22+O22+L22+I22+F22+C22</f>
        <v>557884</v>
      </c>
      <c r="F25" s="38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23.25" customHeight="1" x14ac:dyDescent="0.2">
      <c r="B26" s="375" t="s">
        <v>107</v>
      </c>
      <c r="C26" s="375"/>
      <c r="D26" s="375"/>
      <c r="E26" s="384">
        <f>D10+G10+J10+M10+P10+S10+S22+P22+M22+J22+G22+D22</f>
        <v>304422.9599999999</v>
      </c>
      <c r="F26" s="385"/>
      <c r="G26" s="3"/>
      <c r="H26" s="29"/>
      <c r="I26" s="3"/>
      <c r="J26" s="3"/>
      <c r="K26" s="3"/>
      <c r="L26" s="3"/>
      <c r="M26" s="3"/>
      <c r="N26" s="3"/>
      <c r="O26" s="3"/>
      <c r="P26" s="29"/>
      <c r="Q26" s="3"/>
      <c r="R26" s="3"/>
      <c r="S26" s="3"/>
    </row>
    <row r="27" spans="1:19" x14ac:dyDescent="0.2">
      <c r="B27" s="387" t="s">
        <v>111</v>
      </c>
      <c r="C27" s="388"/>
      <c r="D27" s="389"/>
      <c r="E27" s="377">
        <f>SUM(E25:F26)</f>
        <v>862306.96</v>
      </c>
      <c r="F27" s="378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x14ac:dyDescent="0.2">
      <c r="Q28" s="113"/>
    </row>
    <row r="29" spans="1:19" x14ac:dyDescent="0.2">
      <c r="A29"/>
    </row>
    <row r="30" spans="1:19" x14ac:dyDescent="0.2">
      <c r="A30"/>
    </row>
    <row r="31" spans="1:19" x14ac:dyDescent="0.2">
      <c r="A31"/>
    </row>
    <row r="32" spans="1:19" x14ac:dyDescent="0.2">
      <c r="A32"/>
    </row>
    <row r="33" spans="1:5" x14ac:dyDescent="0.2">
      <c r="A33"/>
    </row>
    <row r="34" spans="1:5" x14ac:dyDescent="0.2">
      <c r="A34"/>
    </row>
    <row r="35" spans="1:5" x14ac:dyDescent="0.2">
      <c r="A35"/>
    </row>
    <row r="36" spans="1:5" x14ac:dyDescent="0.2">
      <c r="A36"/>
    </row>
    <row r="39" spans="1:5" x14ac:dyDescent="0.2">
      <c r="E39" s="113"/>
    </row>
    <row r="40" spans="1:5" x14ac:dyDescent="0.2">
      <c r="C40" s="113"/>
      <c r="E40" s="113"/>
    </row>
    <row r="41" spans="1:5" x14ac:dyDescent="0.2">
      <c r="C41" s="113"/>
      <c r="E41" s="113"/>
    </row>
    <row r="44" spans="1:5" x14ac:dyDescent="0.2">
      <c r="C44" s="113"/>
    </row>
  </sheetData>
  <mergeCells count="18">
    <mergeCell ref="K1:M1"/>
    <mergeCell ref="B26:D26"/>
    <mergeCell ref="B13:D13"/>
    <mergeCell ref="N1:P1"/>
    <mergeCell ref="Q1:S1"/>
    <mergeCell ref="N13:P13"/>
    <mergeCell ref="Q13:S13"/>
    <mergeCell ref="B1:D1"/>
    <mergeCell ref="E1:G1"/>
    <mergeCell ref="K13:M13"/>
    <mergeCell ref="H1:J1"/>
    <mergeCell ref="H13:J13"/>
    <mergeCell ref="B27:D27"/>
    <mergeCell ref="E27:F27"/>
    <mergeCell ref="B25:D25"/>
    <mergeCell ref="E25:F25"/>
    <mergeCell ref="E13:G13"/>
    <mergeCell ref="E26:F26"/>
  </mergeCells>
  <phoneticPr fontId="19" type="noConversion"/>
  <printOptions horizontalCentered="1" gridLines="1"/>
  <pageMargins left="0" right="0" top="0.75" bottom="0" header="0.3" footer="0.3"/>
  <pageSetup scale="80" orientation="landscape" r:id="rId1"/>
  <headerFooter>
    <oddHeader>&amp;LElectrical Engineering Department&amp;C Budget and Expenditure Projection 2016-17
&amp;R&amp;A</oddHeader>
    <oddFooter>&amp;R&amp;8&amp;D</oddFooter>
  </headerFooter>
  <ignoredErrors>
    <ignoredError sqref="D4 G4 D5 D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5" tint="0.39997558519241921"/>
  </sheetPr>
  <dimension ref="A1:S46"/>
  <sheetViews>
    <sheetView tabSelected="1" topLeftCell="G1" zoomScaleNormal="100" workbookViewId="0">
      <selection activeCell="G34" sqref="G34"/>
    </sheetView>
  </sheetViews>
  <sheetFormatPr defaultRowHeight="12.75" x14ac:dyDescent="0.2"/>
  <cols>
    <col min="1" max="1" width="9.5703125" style="7" customWidth="1"/>
    <col min="2" max="2" width="6.7109375" customWidth="1"/>
    <col min="3" max="3" width="9.140625" bestFit="1" customWidth="1"/>
    <col min="4" max="4" width="8.140625" bestFit="1" customWidth="1"/>
    <col min="5" max="6" width="9.140625" bestFit="1" customWidth="1"/>
    <col min="7" max="7" width="8.140625" bestFit="1" customWidth="1"/>
    <col min="8" max="9" width="9.140625" bestFit="1" customWidth="1"/>
    <col min="10" max="10" width="8.140625" bestFit="1" customWidth="1"/>
    <col min="11" max="12" width="9.140625" bestFit="1" customWidth="1"/>
    <col min="13" max="13" width="8.7109375" bestFit="1" customWidth="1"/>
    <col min="14" max="15" width="9.140625" bestFit="1" customWidth="1"/>
    <col min="16" max="16" width="8.140625" bestFit="1" customWidth="1"/>
    <col min="17" max="18" width="9.140625" bestFit="1" customWidth="1"/>
    <col min="19" max="19" width="8.140625" bestFit="1" customWidth="1"/>
  </cols>
  <sheetData>
    <row r="1" spans="1:19" s="34" customFormat="1" x14ac:dyDescent="0.2">
      <c r="A1" s="33"/>
      <c r="B1" s="365" t="s">
        <v>6</v>
      </c>
      <c r="C1" s="365"/>
      <c r="D1" s="365"/>
      <c r="E1" s="365" t="s">
        <v>125</v>
      </c>
      <c r="F1" s="365"/>
      <c r="G1" s="365"/>
      <c r="H1" s="365" t="s">
        <v>126</v>
      </c>
      <c r="I1" s="365"/>
      <c r="J1" s="365"/>
      <c r="K1" s="365" t="s">
        <v>127</v>
      </c>
      <c r="L1" s="365"/>
      <c r="M1" s="365"/>
      <c r="N1" s="365" t="s">
        <v>128</v>
      </c>
      <c r="O1" s="365"/>
      <c r="P1" s="365"/>
      <c r="Q1" s="365" t="s">
        <v>129</v>
      </c>
      <c r="R1" s="365"/>
      <c r="S1" s="365"/>
    </row>
    <row r="2" spans="1:19" x14ac:dyDescent="0.2">
      <c r="B2" s="14" t="s">
        <v>33</v>
      </c>
      <c r="C2" s="14" t="s">
        <v>31</v>
      </c>
      <c r="D2" s="14" t="s">
        <v>32</v>
      </c>
      <c r="E2" s="26" t="s">
        <v>34</v>
      </c>
      <c r="F2" s="26" t="s">
        <v>31</v>
      </c>
      <c r="G2" s="26" t="s">
        <v>32</v>
      </c>
      <c r="H2" s="26" t="s">
        <v>34</v>
      </c>
      <c r="I2" s="26" t="s">
        <v>31</v>
      </c>
      <c r="J2" s="26" t="s">
        <v>32</v>
      </c>
      <c r="K2" s="26" t="s">
        <v>34</v>
      </c>
      <c r="L2" s="26" t="s">
        <v>31</v>
      </c>
      <c r="M2" s="26" t="s">
        <v>32</v>
      </c>
      <c r="N2" s="14" t="s">
        <v>34</v>
      </c>
      <c r="O2" s="14" t="s">
        <v>31</v>
      </c>
      <c r="P2" s="14" t="s">
        <v>32</v>
      </c>
      <c r="Q2" s="14" t="s">
        <v>34</v>
      </c>
      <c r="R2" s="14" t="s">
        <v>31</v>
      </c>
      <c r="S2" s="14" t="s">
        <v>32</v>
      </c>
    </row>
    <row r="3" spans="1:19" x14ac:dyDescent="0.2">
      <c r="A3" s="187" t="s">
        <v>367</v>
      </c>
      <c r="B3" s="207">
        <v>2341.06</v>
      </c>
      <c r="C3" s="207">
        <v>2307.6</v>
      </c>
      <c r="D3" s="207">
        <f t="shared" ref="D3:D12" si="0">B3-C3</f>
        <v>33.460000000000036</v>
      </c>
      <c r="E3" s="207">
        <v>0</v>
      </c>
      <c r="F3" s="207">
        <v>0</v>
      </c>
      <c r="G3" s="207">
        <f t="shared" ref="G3:G12" si="1">E3-F3</f>
        <v>0</v>
      </c>
      <c r="H3" s="207">
        <v>0</v>
      </c>
      <c r="I3" s="207">
        <v>0</v>
      </c>
      <c r="J3" s="207">
        <f t="shared" ref="J3:J12" si="2">H3-I3</f>
        <v>0</v>
      </c>
      <c r="K3" s="207">
        <f t="shared" ref="K3" si="3">H3</f>
        <v>0</v>
      </c>
      <c r="L3" s="207">
        <f t="shared" ref="L3" si="4">I3</f>
        <v>0</v>
      </c>
      <c r="M3" s="207">
        <f t="shared" ref="M3" si="5">K3-L3</f>
        <v>0</v>
      </c>
      <c r="N3" s="311">
        <f t="shared" ref="N3:N12" si="6">K3</f>
        <v>0</v>
      </c>
      <c r="O3" s="311">
        <f t="shared" ref="O3:O12" si="7">L3</f>
        <v>0</v>
      </c>
      <c r="P3" s="311">
        <f t="shared" ref="P3:P12" si="8">N3-O3</f>
        <v>0</v>
      </c>
      <c r="Q3" s="311">
        <f t="shared" ref="Q3:Q12" si="9">N3</f>
        <v>0</v>
      </c>
      <c r="R3" s="311">
        <f t="shared" ref="R3:R12" si="10">O3</f>
        <v>0</v>
      </c>
      <c r="S3" s="311">
        <f t="shared" ref="S3:S12" si="11">Q3-R3</f>
        <v>0</v>
      </c>
    </row>
    <row r="4" spans="1:19" x14ac:dyDescent="0.2">
      <c r="A4" s="187" t="s">
        <v>368</v>
      </c>
      <c r="B4" s="17">
        <v>0</v>
      </c>
      <c r="C4" s="17">
        <v>0</v>
      </c>
      <c r="D4" s="17">
        <f t="shared" si="0"/>
        <v>0</v>
      </c>
      <c r="E4" s="207">
        <f>B4</f>
        <v>0</v>
      </c>
      <c r="F4" s="207">
        <f>C4</f>
        <v>0</v>
      </c>
      <c r="G4" s="207">
        <f t="shared" si="1"/>
        <v>0</v>
      </c>
      <c r="H4" s="17">
        <v>0</v>
      </c>
      <c r="I4" s="17">
        <v>0</v>
      </c>
      <c r="J4" s="17">
        <f t="shared" si="2"/>
        <v>0</v>
      </c>
      <c r="K4" s="311">
        <f t="shared" ref="K4:K12" si="12">H4</f>
        <v>0</v>
      </c>
      <c r="L4" s="311">
        <f t="shared" ref="L4:L12" si="13">I4</f>
        <v>0</v>
      </c>
      <c r="M4" s="311">
        <f t="shared" ref="M4:M12" si="14">K4-L4</f>
        <v>0</v>
      </c>
      <c r="N4" s="311">
        <f t="shared" si="6"/>
        <v>0</v>
      </c>
      <c r="O4" s="311">
        <f t="shared" si="7"/>
        <v>0</v>
      </c>
      <c r="P4" s="311">
        <f t="shared" si="8"/>
        <v>0</v>
      </c>
      <c r="Q4" s="311">
        <f t="shared" si="9"/>
        <v>0</v>
      </c>
      <c r="R4" s="311">
        <f t="shared" si="10"/>
        <v>0</v>
      </c>
      <c r="S4" s="311">
        <f t="shared" si="11"/>
        <v>0</v>
      </c>
    </row>
    <row r="5" spans="1:19" x14ac:dyDescent="0.2">
      <c r="A5" s="187" t="s">
        <v>369</v>
      </c>
      <c r="B5" s="311">
        <v>0</v>
      </c>
      <c r="C5" s="311">
        <v>0</v>
      </c>
      <c r="D5" s="311">
        <f>B5-C5</f>
        <v>0</v>
      </c>
      <c r="E5" s="311">
        <v>0</v>
      </c>
      <c r="F5" s="311">
        <v>0</v>
      </c>
      <c r="G5" s="311">
        <f>E5-F5</f>
        <v>0</v>
      </c>
      <c r="H5" s="311">
        <v>0</v>
      </c>
      <c r="I5" s="311">
        <v>0</v>
      </c>
      <c r="J5" s="311">
        <f>H5-I5</f>
        <v>0</v>
      </c>
      <c r="K5" s="311">
        <f>601.98+780.35</f>
        <v>1382.33</v>
      </c>
      <c r="L5" s="311">
        <f>593.38+769.2</f>
        <v>1362.58</v>
      </c>
      <c r="M5" s="311">
        <f>K5-L5</f>
        <v>19.75</v>
      </c>
      <c r="N5" s="311">
        <v>780.35</v>
      </c>
      <c r="O5" s="311">
        <v>769.2</v>
      </c>
      <c r="P5" s="311">
        <f t="shared" si="8"/>
        <v>11.149999999999977</v>
      </c>
      <c r="Q5" s="347">
        <v>757.34</v>
      </c>
      <c r="R5" s="311">
        <v>746.52</v>
      </c>
      <c r="S5" s="311">
        <f t="shared" si="11"/>
        <v>10.82000000000005</v>
      </c>
    </row>
    <row r="6" spans="1:19" x14ac:dyDescent="0.2">
      <c r="A6" s="3" t="s">
        <v>370</v>
      </c>
      <c r="B6" s="156">
        <v>1286.92</v>
      </c>
      <c r="C6" s="156">
        <v>1268.53</v>
      </c>
      <c r="D6" s="156">
        <f t="shared" si="0"/>
        <v>18.3900000000001</v>
      </c>
      <c r="E6" s="207">
        <v>0</v>
      </c>
      <c r="F6" s="207">
        <v>0</v>
      </c>
      <c r="G6" s="207">
        <f t="shared" si="1"/>
        <v>0</v>
      </c>
      <c r="H6" s="156">
        <v>1286.92</v>
      </c>
      <c r="I6" s="156">
        <v>1268.53</v>
      </c>
      <c r="J6" s="156">
        <f t="shared" si="2"/>
        <v>18.3900000000001</v>
      </c>
      <c r="K6" s="311">
        <f t="shared" si="12"/>
        <v>1286.92</v>
      </c>
      <c r="L6" s="311">
        <f t="shared" si="13"/>
        <v>1268.53</v>
      </c>
      <c r="M6" s="311">
        <f t="shared" si="14"/>
        <v>18.3900000000001</v>
      </c>
      <c r="N6" s="311">
        <f t="shared" si="6"/>
        <v>1286.92</v>
      </c>
      <c r="O6" s="311">
        <f t="shared" si="7"/>
        <v>1268.53</v>
      </c>
      <c r="P6" s="311">
        <f t="shared" si="8"/>
        <v>18.3900000000001</v>
      </c>
      <c r="Q6" s="347">
        <f t="shared" si="9"/>
        <v>1286.92</v>
      </c>
      <c r="R6" s="311">
        <f t="shared" si="10"/>
        <v>1268.53</v>
      </c>
      <c r="S6" s="311">
        <f t="shared" si="11"/>
        <v>18.3900000000001</v>
      </c>
    </row>
    <row r="7" spans="1:19" x14ac:dyDescent="0.2">
      <c r="A7" s="3" t="s">
        <v>371</v>
      </c>
      <c r="B7" s="170">
        <v>621.69000000000005</v>
      </c>
      <c r="C7" s="170">
        <v>612.79999999999995</v>
      </c>
      <c r="D7" s="170">
        <f>B7-C7</f>
        <v>8.8900000000001</v>
      </c>
      <c r="E7" s="207">
        <v>0</v>
      </c>
      <c r="F7" s="207">
        <v>0</v>
      </c>
      <c r="G7" s="207">
        <f>E7-F7</f>
        <v>0</v>
      </c>
      <c r="H7" s="170">
        <v>0</v>
      </c>
      <c r="I7" s="170">
        <v>0</v>
      </c>
      <c r="J7" s="208">
        <f>H7-I7</f>
        <v>0</v>
      </c>
      <c r="K7" s="311">
        <f t="shared" si="12"/>
        <v>0</v>
      </c>
      <c r="L7" s="311">
        <f t="shared" si="13"/>
        <v>0</v>
      </c>
      <c r="M7" s="311">
        <f t="shared" si="14"/>
        <v>0</v>
      </c>
      <c r="N7" s="311">
        <f t="shared" si="6"/>
        <v>0</v>
      </c>
      <c r="O7" s="311">
        <f t="shared" si="7"/>
        <v>0</v>
      </c>
      <c r="P7" s="311">
        <f t="shared" si="8"/>
        <v>0</v>
      </c>
      <c r="Q7" s="311">
        <f t="shared" si="9"/>
        <v>0</v>
      </c>
      <c r="R7" s="311">
        <f t="shared" si="10"/>
        <v>0</v>
      </c>
      <c r="S7" s="311">
        <f t="shared" si="11"/>
        <v>0</v>
      </c>
    </row>
    <row r="8" spans="1:19" x14ac:dyDescent="0.2">
      <c r="A8" s="3" t="s">
        <v>374</v>
      </c>
      <c r="B8" s="17">
        <v>0</v>
      </c>
      <c r="C8" s="17">
        <v>0</v>
      </c>
      <c r="D8" s="17">
        <f t="shared" si="0"/>
        <v>0</v>
      </c>
      <c r="E8" s="207">
        <f>B8</f>
        <v>0</v>
      </c>
      <c r="F8" s="207">
        <f>C8</f>
        <v>0</v>
      </c>
      <c r="G8" s="207">
        <f t="shared" si="1"/>
        <v>0</v>
      </c>
      <c r="H8" s="17">
        <v>2217.36</v>
      </c>
      <c r="I8" s="17">
        <v>2185.67</v>
      </c>
      <c r="J8" s="17">
        <f t="shared" si="2"/>
        <v>31.690000000000055</v>
      </c>
      <c r="K8" s="311">
        <f t="shared" si="12"/>
        <v>2217.36</v>
      </c>
      <c r="L8" s="311">
        <f t="shared" si="13"/>
        <v>2185.67</v>
      </c>
      <c r="M8" s="311">
        <f t="shared" si="14"/>
        <v>31.690000000000055</v>
      </c>
      <c r="N8" s="311">
        <f t="shared" si="6"/>
        <v>2217.36</v>
      </c>
      <c r="O8" s="311">
        <f t="shared" si="7"/>
        <v>2185.67</v>
      </c>
      <c r="P8" s="311">
        <f t="shared" si="8"/>
        <v>31.690000000000055</v>
      </c>
      <c r="Q8" s="347">
        <f t="shared" si="9"/>
        <v>2217.36</v>
      </c>
      <c r="R8" s="311">
        <f t="shared" si="10"/>
        <v>2185.67</v>
      </c>
      <c r="S8" s="311">
        <f t="shared" si="11"/>
        <v>31.690000000000055</v>
      </c>
    </row>
    <row r="9" spans="1:19" x14ac:dyDescent="0.2">
      <c r="A9" s="3" t="s">
        <v>375</v>
      </c>
      <c r="B9" s="17">
        <v>621.69000000000005</v>
      </c>
      <c r="C9" s="17">
        <v>612.79999999999995</v>
      </c>
      <c r="D9" s="17">
        <f t="shared" si="0"/>
        <v>8.8900000000001</v>
      </c>
      <c r="E9" s="17">
        <v>0</v>
      </c>
      <c r="F9" s="17">
        <v>0</v>
      </c>
      <c r="G9" s="17">
        <f t="shared" si="1"/>
        <v>0</v>
      </c>
      <c r="H9" s="17">
        <v>0</v>
      </c>
      <c r="I9" s="17">
        <v>0</v>
      </c>
      <c r="J9" s="17">
        <f t="shared" si="2"/>
        <v>0</v>
      </c>
      <c r="K9" s="311">
        <f t="shared" si="12"/>
        <v>0</v>
      </c>
      <c r="L9" s="311">
        <f t="shared" si="13"/>
        <v>0</v>
      </c>
      <c r="M9" s="311">
        <f t="shared" si="14"/>
        <v>0</v>
      </c>
      <c r="N9" s="311">
        <f t="shared" si="6"/>
        <v>0</v>
      </c>
      <c r="O9" s="311">
        <f t="shared" si="7"/>
        <v>0</v>
      </c>
      <c r="P9" s="311">
        <f t="shared" si="8"/>
        <v>0</v>
      </c>
      <c r="Q9" s="311">
        <f t="shared" si="9"/>
        <v>0</v>
      </c>
      <c r="R9" s="311">
        <f t="shared" si="10"/>
        <v>0</v>
      </c>
      <c r="S9" s="311">
        <f t="shared" si="11"/>
        <v>0</v>
      </c>
    </row>
    <row r="10" spans="1:19" x14ac:dyDescent="0.2">
      <c r="A10" s="3" t="s">
        <v>378</v>
      </c>
      <c r="B10" s="141">
        <v>0</v>
      </c>
      <c r="C10" s="141">
        <v>0</v>
      </c>
      <c r="D10" s="141">
        <f>B10-C10</f>
        <v>0</v>
      </c>
      <c r="E10" s="141">
        <v>0</v>
      </c>
      <c r="F10" s="141">
        <v>0</v>
      </c>
      <c r="G10" s="141">
        <f>E10-F10</f>
        <v>0</v>
      </c>
      <c r="H10" s="141">
        <v>1583.71</v>
      </c>
      <c r="I10" s="141">
        <v>1561.07</v>
      </c>
      <c r="J10" s="208">
        <f>H10-I10</f>
        <v>22.6400000000001</v>
      </c>
      <c r="K10" s="311">
        <f t="shared" si="12"/>
        <v>1583.71</v>
      </c>
      <c r="L10" s="311">
        <f t="shared" si="13"/>
        <v>1561.07</v>
      </c>
      <c r="M10" s="311">
        <f t="shared" si="14"/>
        <v>22.6400000000001</v>
      </c>
      <c r="N10" s="311">
        <f t="shared" si="6"/>
        <v>1583.71</v>
      </c>
      <c r="O10" s="311">
        <f t="shared" si="7"/>
        <v>1561.07</v>
      </c>
      <c r="P10" s="311">
        <f t="shared" si="8"/>
        <v>22.6400000000001</v>
      </c>
      <c r="Q10" s="347">
        <f t="shared" si="9"/>
        <v>1583.71</v>
      </c>
      <c r="R10" s="311">
        <f t="shared" si="10"/>
        <v>1561.07</v>
      </c>
      <c r="S10" s="311">
        <f t="shared" si="11"/>
        <v>22.6400000000001</v>
      </c>
    </row>
    <row r="11" spans="1:19" x14ac:dyDescent="0.2">
      <c r="A11" s="187" t="s">
        <v>376</v>
      </c>
      <c r="B11" s="207">
        <v>0</v>
      </c>
      <c r="C11" s="207">
        <v>0</v>
      </c>
      <c r="D11" s="207">
        <f t="shared" si="0"/>
        <v>0</v>
      </c>
      <c r="E11" s="207">
        <v>0</v>
      </c>
      <c r="F11" s="207">
        <v>0</v>
      </c>
      <c r="G11" s="207">
        <f t="shared" si="1"/>
        <v>0</v>
      </c>
      <c r="H11" s="207">
        <v>1560.71</v>
      </c>
      <c r="I11" s="207">
        <v>1538.4</v>
      </c>
      <c r="J11" s="314">
        <f>H11-I11</f>
        <v>22.309999999999945</v>
      </c>
      <c r="K11" s="311">
        <f t="shared" si="12"/>
        <v>1560.71</v>
      </c>
      <c r="L11" s="311">
        <f t="shared" si="13"/>
        <v>1538.4</v>
      </c>
      <c r="M11" s="311">
        <f t="shared" si="14"/>
        <v>22.309999999999945</v>
      </c>
      <c r="N11" s="311">
        <f t="shared" si="6"/>
        <v>1560.71</v>
      </c>
      <c r="O11" s="311">
        <f t="shared" si="7"/>
        <v>1538.4</v>
      </c>
      <c r="P11" s="311">
        <f t="shared" si="8"/>
        <v>22.309999999999945</v>
      </c>
      <c r="Q11" s="347">
        <v>2067.27</v>
      </c>
      <c r="R11" s="311">
        <f t="shared" si="10"/>
        <v>1538.4</v>
      </c>
      <c r="S11" s="311">
        <f t="shared" si="11"/>
        <v>528.86999999999989</v>
      </c>
    </row>
    <row r="12" spans="1:19" x14ac:dyDescent="0.2">
      <c r="A12" s="3" t="s">
        <v>377</v>
      </c>
      <c r="B12" s="141">
        <v>0</v>
      </c>
      <c r="C12" s="141">
        <v>0</v>
      </c>
      <c r="D12" s="141">
        <f t="shared" si="0"/>
        <v>0</v>
      </c>
      <c r="E12" s="141">
        <v>0</v>
      </c>
      <c r="F12" s="141">
        <v>0</v>
      </c>
      <c r="G12" s="141">
        <f t="shared" si="1"/>
        <v>0</v>
      </c>
      <c r="H12" s="141">
        <v>1583.71</v>
      </c>
      <c r="I12" s="141">
        <v>1561.07</v>
      </c>
      <c r="J12" s="141">
        <f t="shared" si="2"/>
        <v>22.6400000000001</v>
      </c>
      <c r="K12" s="311">
        <f t="shared" si="12"/>
        <v>1583.71</v>
      </c>
      <c r="L12" s="311">
        <f t="shared" si="13"/>
        <v>1561.07</v>
      </c>
      <c r="M12" s="311">
        <f t="shared" si="14"/>
        <v>22.6400000000001</v>
      </c>
      <c r="N12" s="311">
        <f t="shared" si="6"/>
        <v>1583.71</v>
      </c>
      <c r="O12" s="311">
        <f t="shared" si="7"/>
        <v>1561.07</v>
      </c>
      <c r="P12" s="311">
        <f t="shared" si="8"/>
        <v>22.6400000000001</v>
      </c>
      <c r="Q12" s="347">
        <f t="shared" si="9"/>
        <v>1583.71</v>
      </c>
      <c r="R12" s="311">
        <f t="shared" si="10"/>
        <v>1561.07</v>
      </c>
      <c r="S12" s="311">
        <f t="shared" si="11"/>
        <v>22.6400000000001</v>
      </c>
    </row>
    <row r="13" spans="1:19" x14ac:dyDescent="0.2">
      <c r="A13" s="166" t="s">
        <v>273</v>
      </c>
      <c r="B13" s="53">
        <f t="shared" ref="B13:P13" si="15">SUM(B3:B12)</f>
        <v>4871.3600000000006</v>
      </c>
      <c r="C13" s="53">
        <f t="shared" si="15"/>
        <v>4801.7300000000005</v>
      </c>
      <c r="D13" s="53">
        <f t="shared" si="15"/>
        <v>69.630000000000337</v>
      </c>
      <c r="E13" s="53">
        <f t="shared" si="15"/>
        <v>0</v>
      </c>
      <c r="F13" s="53">
        <f t="shared" si="15"/>
        <v>0</v>
      </c>
      <c r="G13" s="53">
        <f t="shared" si="15"/>
        <v>0</v>
      </c>
      <c r="H13" s="53">
        <f t="shared" si="15"/>
        <v>8232.41</v>
      </c>
      <c r="I13" s="53">
        <f t="shared" si="15"/>
        <v>8114.74</v>
      </c>
      <c r="J13" s="53">
        <f t="shared" si="15"/>
        <v>117.6700000000003</v>
      </c>
      <c r="K13" s="53">
        <f t="shared" si="15"/>
        <v>9614.7400000000016</v>
      </c>
      <c r="L13" s="53">
        <f t="shared" si="15"/>
        <v>9477.32</v>
      </c>
      <c r="M13" s="53">
        <f t="shared" si="15"/>
        <v>137.4200000000003</v>
      </c>
      <c r="N13" s="53">
        <f t="shared" si="15"/>
        <v>9012.76</v>
      </c>
      <c r="O13" s="53">
        <f t="shared" si="15"/>
        <v>8883.9399999999987</v>
      </c>
      <c r="P13" s="53">
        <f t="shared" si="15"/>
        <v>128.82000000000028</v>
      </c>
      <c r="Q13" s="53">
        <f>SUM(Q3:Q12)</f>
        <v>9496.3100000000013</v>
      </c>
      <c r="R13" s="53">
        <f t="shared" ref="R13:S13" si="16">SUM(R3:R12)</f>
        <v>8861.26</v>
      </c>
      <c r="S13" s="53">
        <f t="shared" si="16"/>
        <v>635.0500000000003</v>
      </c>
    </row>
    <row r="14" spans="1:19" x14ac:dyDescent="0.2">
      <c r="A14" s="187" t="s">
        <v>367</v>
      </c>
      <c r="B14" s="17">
        <v>1096.7</v>
      </c>
      <c r="C14" s="17">
        <v>816.13</v>
      </c>
      <c r="D14" s="17">
        <f>B14-C14</f>
        <v>280.57000000000005</v>
      </c>
      <c r="E14" s="17">
        <f>B14</f>
        <v>1096.7</v>
      </c>
      <c r="F14" s="17">
        <f>C14</f>
        <v>816.13</v>
      </c>
      <c r="G14" s="17">
        <f>E14-F14</f>
        <v>280.57000000000005</v>
      </c>
      <c r="H14" s="17">
        <v>1096.7</v>
      </c>
      <c r="I14" s="17">
        <v>816.13</v>
      </c>
      <c r="J14" s="17">
        <f>H14-I14</f>
        <v>280.57000000000005</v>
      </c>
      <c r="K14" s="17">
        <f t="shared" ref="K14:L14" si="17">H14</f>
        <v>1096.7</v>
      </c>
      <c r="L14" s="17">
        <f t="shared" si="17"/>
        <v>816.13</v>
      </c>
      <c r="M14" s="17">
        <f>K14-L14</f>
        <v>280.57000000000005</v>
      </c>
      <c r="N14" s="208">
        <f t="shared" ref="N14:N19" si="18">K14</f>
        <v>1096.7</v>
      </c>
      <c r="O14" s="208">
        <f t="shared" ref="O14:O19" si="19">L14</f>
        <v>816.13</v>
      </c>
      <c r="P14" s="208">
        <f t="shared" ref="P14:P19" si="20">N14-O14</f>
        <v>280.57000000000005</v>
      </c>
      <c r="Q14" s="347">
        <f t="shared" ref="Q14:Q19" si="21">N14</f>
        <v>1096.7</v>
      </c>
      <c r="R14" s="208">
        <f t="shared" ref="R14:R19" si="22">O14</f>
        <v>816.13</v>
      </c>
      <c r="S14" s="208">
        <f t="shared" ref="S14:S18" si="23">Q14-R14</f>
        <v>280.57000000000005</v>
      </c>
    </row>
    <row r="15" spans="1:19" x14ac:dyDescent="0.2">
      <c r="A15" s="3" t="s">
        <v>368</v>
      </c>
      <c r="B15" s="131">
        <v>390.18</v>
      </c>
      <c r="C15" s="131">
        <v>384.6</v>
      </c>
      <c r="D15" s="131">
        <f>B15-C15</f>
        <v>5.5799999999999841</v>
      </c>
      <c r="E15" s="131">
        <v>780.35</v>
      </c>
      <c r="F15" s="131">
        <v>769.2</v>
      </c>
      <c r="G15" s="131">
        <f>E15-F15</f>
        <v>11.149999999999977</v>
      </c>
      <c r="H15" s="131">
        <v>1950.88</v>
      </c>
      <c r="I15" s="131">
        <v>1923</v>
      </c>
      <c r="J15" s="131">
        <f>H15-I15</f>
        <v>27.880000000000109</v>
      </c>
      <c r="K15" s="207">
        <f>409.81+3664.24</f>
        <v>4074.0499999999997</v>
      </c>
      <c r="L15" s="207">
        <f>384.6+2307.6</f>
        <v>2692.2</v>
      </c>
      <c r="M15" s="207">
        <f>K15-L15</f>
        <v>1381.85</v>
      </c>
      <c r="N15" s="208">
        <f>3664.24+1303.55</f>
        <v>4967.79</v>
      </c>
      <c r="O15" s="208">
        <v>2307.6</v>
      </c>
      <c r="P15" s="208">
        <f>N15-O15</f>
        <v>2660.19</v>
      </c>
      <c r="Q15" s="347">
        <v>3804.59</v>
      </c>
      <c r="R15" s="208">
        <f>O15</f>
        <v>2307.6</v>
      </c>
      <c r="S15" s="208">
        <f>Q15-R15</f>
        <v>1496.9900000000002</v>
      </c>
    </row>
    <row r="16" spans="1:19" x14ac:dyDescent="0.2">
      <c r="A16" s="187" t="s">
        <v>369</v>
      </c>
      <c r="B16" s="207">
        <v>621.69000000000005</v>
      </c>
      <c r="C16" s="207">
        <v>612.79999999999995</v>
      </c>
      <c r="D16" s="207">
        <f>B16-C16</f>
        <v>8.8900000000001</v>
      </c>
      <c r="E16" s="207">
        <v>1243.3699999999999</v>
      </c>
      <c r="F16" s="207">
        <v>1225.5999999999999</v>
      </c>
      <c r="G16" s="207">
        <f>E16-F16</f>
        <v>17.769999999999982</v>
      </c>
      <c r="H16" s="207">
        <v>621.69000000000005</v>
      </c>
      <c r="I16" s="207">
        <v>612.79999999999995</v>
      </c>
      <c r="J16" s="207">
        <f>H16-I16</f>
        <v>8.8900000000001</v>
      </c>
      <c r="K16" s="207">
        <f>-H16</f>
        <v>-621.69000000000005</v>
      </c>
      <c r="L16" s="207">
        <v>-612.79999999999995</v>
      </c>
      <c r="M16" s="207">
        <f>K16-L16</f>
        <v>-8.8900000000001</v>
      </c>
      <c r="N16" s="208">
        <v>0</v>
      </c>
      <c r="O16" s="208">
        <v>0</v>
      </c>
      <c r="P16" s="208">
        <f>N16-O16</f>
        <v>0</v>
      </c>
      <c r="Q16" s="208">
        <f>N16</f>
        <v>0</v>
      </c>
      <c r="R16" s="208">
        <f>O16</f>
        <v>0</v>
      </c>
      <c r="S16" s="208">
        <f>Q16-R16</f>
        <v>0</v>
      </c>
    </row>
    <row r="17" spans="1:19" x14ac:dyDescent="0.2">
      <c r="A17" s="3" t="s">
        <v>370</v>
      </c>
      <c r="B17" s="169">
        <v>2875.69</v>
      </c>
      <c r="C17" s="169">
        <v>2140</v>
      </c>
      <c r="D17" s="169">
        <f>B17-C17</f>
        <v>735.69</v>
      </c>
      <c r="E17" s="169">
        <v>2875.69</v>
      </c>
      <c r="F17" s="169">
        <v>2140</v>
      </c>
      <c r="G17" s="169">
        <f>E17-F17</f>
        <v>735.69</v>
      </c>
      <c r="H17" s="169">
        <v>2875.69</v>
      </c>
      <c r="I17" s="169">
        <v>2140</v>
      </c>
      <c r="J17" s="208">
        <f t="shared" ref="J17:J19" si="24">H17-I17</f>
        <v>735.69</v>
      </c>
      <c r="K17" s="207">
        <f t="shared" ref="K17:L17" si="25">H17</f>
        <v>2875.69</v>
      </c>
      <c r="L17" s="207">
        <f t="shared" si="25"/>
        <v>2140</v>
      </c>
      <c r="M17" s="207">
        <f>K17-L17</f>
        <v>735.69</v>
      </c>
      <c r="N17" s="208">
        <f t="shared" si="18"/>
        <v>2875.69</v>
      </c>
      <c r="O17" s="208">
        <f t="shared" si="19"/>
        <v>2140</v>
      </c>
      <c r="P17" s="208">
        <f t="shared" si="20"/>
        <v>735.69</v>
      </c>
      <c r="Q17" s="347">
        <f t="shared" si="21"/>
        <v>2875.69</v>
      </c>
      <c r="R17" s="208">
        <f t="shared" si="22"/>
        <v>2140</v>
      </c>
      <c r="S17" s="208">
        <f t="shared" si="23"/>
        <v>735.69</v>
      </c>
    </row>
    <row r="18" spans="1:19" x14ac:dyDescent="0.2">
      <c r="A18" s="3" t="s">
        <v>371</v>
      </c>
      <c r="B18" s="141">
        <v>1709.5</v>
      </c>
      <c r="C18" s="141">
        <v>1685.07</v>
      </c>
      <c r="D18" s="171">
        <f>B18-C18</f>
        <v>24.430000000000064</v>
      </c>
      <c r="E18" s="141">
        <v>1709.5</v>
      </c>
      <c r="F18" s="141">
        <v>1685.07</v>
      </c>
      <c r="G18" s="173">
        <f>E18-F18</f>
        <v>24.430000000000064</v>
      </c>
      <c r="H18" s="141">
        <v>854.75</v>
      </c>
      <c r="I18" s="141">
        <v>842.53</v>
      </c>
      <c r="J18" s="141">
        <f>H18-I18</f>
        <v>12.220000000000027</v>
      </c>
      <c r="K18" s="207">
        <f>H18</f>
        <v>854.75</v>
      </c>
      <c r="L18" s="207">
        <f>I18</f>
        <v>842.53</v>
      </c>
      <c r="M18" s="207">
        <f>K18-L18</f>
        <v>12.220000000000027</v>
      </c>
      <c r="N18" s="311">
        <f t="shared" si="18"/>
        <v>854.75</v>
      </c>
      <c r="O18" s="311">
        <f t="shared" si="19"/>
        <v>842.53</v>
      </c>
      <c r="P18" s="311">
        <f t="shared" si="20"/>
        <v>12.220000000000027</v>
      </c>
      <c r="Q18" s="347">
        <f t="shared" si="21"/>
        <v>854.75</v>
      </c>
      <c r="R18" s="311">
        <f t="shared" si="22"/>
        <v>842.53</v>
      </c>
      <c r="S18" s="311">
        <f t="shared" si="23"/>
        <v>12.220000000000027</v>
      </c>
    </row>
    <row r="19" spans="1:19" x14ac:dyDescent="0.2">
      <c r="A19" s="187" t="s">
        <v>374</v>
      </c>
      <c r="B19" s="17">
        <v>5892.84</v>
      </c>
      <c r="C19" s="17">
        <v>4371.33</v>
      </c>
      <c r="D19" s="17">
        <f t="shared" ref="D19" si="26">B19-C19</f>
        <v>1521.5100000000002</v>
      </c>
      <c r="E19" s="17">
        <v>5892.84</v>
      </c>
      <c r="F19" s="17">
        <v>4371.33</v>
      </c>
      <c r="G19" s="17">
        <f t="shared" ref="G19" si="27">E19-F19</f>
        <v>1521.5100000000002</v>
      </c>
      <c r="H19" s="17">
        <v>4718.03</v>
      </c>
      <c r="I19" s="17">
        <v>3497.07</v>
      </c>
      <c r="J19" s="208">
        <f t="shared" si="24"/>
        <v>1220.9599999999996</v>
      </c>
      <c r="K19" s="207">
        <f>H19</f>
        <v>4718.03</v>
      </c>
      <c r="L19" s="207">
        <f t="shared" ref="L19" si="28">I19</f>
        <v>3497.07</v>
      </c>
      <c r="M19" s="207">
        <f t="shared" ref="M19" si="29">K19-L19</f>
        <v>1220.9599999999996</v>
      </c>
      <c r="N19" s="208">
        <f t="shared" si="18"/>
        <v>4718.03</v>
      </c>
      <c r="O19" s="208">
        <f t="shared" si="19"/>
        <v>3497.07</v>
      </c>
      <c r="P19" s="208">
        <f t="shared" si="20"/>
        <v>1220.9599999999996</v>
      </c>
      <c r="Q19" s="347">
        <f t="shared" si="21"/>
        <v>4718.03</v>
      </c>
      <c r="R19" s="347">
        <f t="shared" si="22"/>
        <v>3497.07</v>
      </c>
      <c r="S19" s="347">
        <f t="shared" ref="S19" si="30">P19</f>
        <v>1220.9599999999996</v>
      </c>
    </row>
    <row r="20" spans="1:19" x14ac:dyDescent="0.2">
      <c r="A20" s="112" t="s">
        <v>274</v>
      </c>
      <c r="B20" s="105">
        <f t="shared" ref="B20:S20" si="31">SUM(B14:B19)</f>
        <v>12586.6</v>
      </c>
      <c r="C20" s="309">
        <f t="shared" si="31"/>
        <v>10009.93</v>
      </c>
      <c r="D20" s="309">
        <f t="shared" si="31"/>
        <v>2576.6700000000005</v>
      </c>
      <c r="E20" s="309">
        <f t="shared" si="31"/>
        <v>13598.45</v>
      </c>
      <c r="F20" s="309">
        <f t="shared" si="31"/>
        <v>11007.33</v>
      </c>
      <c r="G20" s="309">
        <f t="shared" si="31"/>
        <v>2591.1200000000003</v>
      </c>
      <c r="H20" s="309">
        <f t="shared" si="31"/>
        <v>12117.74</v>
      </c>
      <c r="I20" s="309">
        <f t="shared" si="31"/>
        <v>9831.5300000000007</v>
      </c>
      <c r="J20" s="309">
        <f t="shared" si="31"/>
        <v>2286.21</v>
      </c>
      <c r="K20" s="309">
        <f t="shared" si="31"/>
        <v>12997.529999999999</v>
      </c>
      <c r="L20" s="309">
        <f t="shared" si="31"/>
        <v>9375.1299999999992</v>
      </c>
      <c r="M20" s="309">
        <f t="shared" si="31"/>
        <v>3622.4</v>
      </c>
      <c r="N20" s="309">
        <f t="shared" si="31"/>
        <v>14512.96</v>
      </c>
      <c r="O20" s="309">
        <f t="shared" si="31"/>
        <v>9603.33</v>
      </c>
      <c r="P20" s="309">
        <f t="shared" si="31"/>
        <v>4909.6299999999992</v>
      </c>
      <c r="Q20" s="309">
        <f>SUM(Q14:Q19)</f>
        <v>13349.759999999998</v>
      </c>
      <c r="R20" s="309">
        <f t="shared" si="31"/>
        <v>9603.33</v>
      </c>
      <c r="S20" s="309">
        <f t="shared" si="31"/>
        <v>3746.43</v>
      </c>
    </row>
    <row r="21" spans="1:19" x14ac:dyDescent="0.2">
      <c r="A21" s="112"/>
      <c r="B21" s="168">
        <f t="shared" ref="B21:S21" si="32">B20+B13</f>
        <v>17457.96</v>
      </c>
      <c r="C21" s="233">
        <f t="shared" si="32"/>
        <v>14811.66</v>
      </c>
      <c r="D21" s="233">
        <f t="shared" si="32"/>
        <v>2646.3000000000011</v>
      </c>
      <c r="E21" s="233">
        <f t="shared" si="32"/>
        <v>13598.45</v>
      </c>
      <c r="F21" s="233">
        <f t="shared" si="32"/>
        <v>11007.33</v>
      </c>
      <c r="G21" s="233">
        <f t="shared" si="32"/>
        <v>2591.1200000000003</v>
      </c>
      <c r="H21" s="233">
        <f t="shared" si="32"/>
        <v>20350.150000000001</v>
      </c>
      <c r="I21" s="233">
        <f t="shared" si="32"/>
        <v>17946.27</v>
      </c>
      <c r="J21" s="233">
        <f t="shared" si="32"/>
        <v>2403.88</v>
      </c>
      <c r="K21" s="233">
        <f t="shared" si="32"/>
        <v>22612.27</v>
      </c>
      <c r="L21" s="233">
        <f t="shared" si="32"/>
        <v>18852.449999999997</v>
      </c>
      <c r="M21" s="233">
        <f t="shared" si="32"/>
        <v>3759.8200000000006</v>
      </c>
      <c r="N21" s="233">
        <f t="shared" si="32"/>
        <v>23525.72</v>
      </c>
      <c r="O21" s="233">
        <f t="shared" si="32"/>
        <v>18487.269999999997</v>
      </c>
      <c r="P21" s="233">
        <f t="shared" si="32"/>
        <v>5038.45</v>
      </c>
      <c r="Q21" s="233">
        <f>Q20+Q13</f>
        <v>22846.07</v>
      </c>
      <c r="R21" s="233">
        <f t="shared" si="32"/>
        <v>18464.59</v>
      </c>
      <c r="S21" s="233">
        <f t="shared" si="32"/>
        <v>4381.4800000000005</v>
      </c>
    </row>
    <row r="22" spans="1:19" x14ac:dyDescent="0.2">
      <c r="B22" s="368" t="s">
        <v>130</v>
      </c>
      <c r="C22" s="368"/>
      <c r="D22" s="368"/>
      <c r="E22" s="368" t="s">
        <v>131</v>
      </c>
      <c r="F22" s="368"/>
      <c r="G22" s="368"/>
      <c r="H22" s="368" t="s">
        <v>132</v>
      </c>
      <c r="I22" s="368"/>
      <c r="J22" s="368"/>
      <c r="K22" s="368" t="s">
        <v>133</v>
      </c>
      <c r="L22" s="368"/>
      <c r="M22" s="368"/>
      <c r="N22" s="368" t="s">
        <v>15</v>
      </c>
      <c r="O22" s="368"/>
      <c r="P22" s="368"/>
      <c r="Q22" s="368" t="s">
        <v>134</v>
      </c>
      <c r="R22" s="368"/>
      <c r="S22" s="368"/>
    </row>
    <row r="23" spans="1:19" x14ac:dyDescent="0.2">
      <c r="B23" s="14" t="s">
        <v>34</v>
      </c>
      <c r="C23" s="14" t="s">
        <v>31</v>
      </c>
      <c r="D23" s="14" t="s">
        <v>32</v>
      </c>
      <c r="E23" s="14" t="s">
        <v>34</v>
      </c>
      <c r="F23" s="14" t="s">
        <v>31</v>
      </c>
      <c r="G23" s="14" t="s">
        <v>32</v>
      </c>
      <c r="H23" s="14" t="s">
        <v>34</v>
      </c>
      <c r="I23" s="14" t="s">
        <v>31</v>
      </c>
      <c r="J23" s="14" t="s">
        <v>32</v>
      </c>
      <c r="K23" s="14" t="s">
        <v>34</v>
      </c>
      <c r="L23" s="14" t="s">
        <v>31</v>
      </c>
      <c r="M23" s="14" t="s">
        <v>32</v>
      </c>
      <c r="N23" s="14" t="s">
        <v>34</v>
      </c>
      <c r="O23" s="14" t="s">
        <v>31</v>
      </c>
      <c r="P23" s="14" t="s">
        <v>32</v>
      </c>
      <c r="Q23" s="14" t="s">
        <v>34</v>
      </c>
      <c r="R23" s="14" t="s">
        <v>31</v>
      </c>
      <c r="S23" s="14" t="s">
        <v>32</v>
      </c>
    </row>
    <row r="24" spans="1:19" x14ac:dyDescent="0.2">
      <c r="A24" s="180" t="s">
        <v>367</v>
      </c>
      <c r="B24" s="181">
        <v>0</v>
      </c>
      <c r="C24" s="181">
        <v>0</v>
      </c>
      <c r="D24" s="181">
        <f>B24-C24</f>
        <v>0</v>
      </c>
      <c r="E24" s="208">
        <f t="shared" ref="E24:F26" si="33">B24</f>
        <v>0</v>
      </c>
      <c r="F24" s="208">
        <f t="shared" si="33"/>
        <v>0</v>
      </c>
      <c r="G24" s="208">
        <f t="shared" ref="G24" si="34">E24-F24</f>
        <v>0</v>
      </c>
      <c r="H24" s="208">
        <f t="shared" ref="H24:I32" si="35">E24</f>
        <v>0</v>
      </c>
      <c r="I24" s="208">
        <f t="shared" si="35"/>
        <v>0</v>
      </c>
      <c r="J24" s="208">
        <f t="shared" ref="J24:J32" si="36">H24-I24</f>
        <v>0</v>
      </c>
      <c r="K24" s="208">
        <v>0</v>
      </c>
      <c r="L24" s="208">
        <v>0</v>
      </c>
      <c r="M24" s="208">
        <f t="shared" ref="M24:M32" si="37">K24-L24</f>
        <v>0</v>
      </c>
      <c r="N24" s="208">
        <f t="shared" ref="N24:O24" si="38">K24</f>
        <v>0</v>
      </c>
      <c r="O24" s="208">
        <f t="shared" si="38"/>
        <v>0</v>
      </c>
      <c r="P24" s="208">
        <f t="shared" ref="P24:P32" si="39">N24-O24</f>
        <v>0</v>
      </c>
      <c r="Q24" s="208">
        <f t="shared" ref="Q24:R32" si="40">N24</f>
        <v>0</v>
      </c>
      <c r="R24" s="208">
        <f t="shared" si="40"/>
        <v>0</v>
      </c>
      <c r="S24" s="208">
        <f t="shared" ref="S24:S32" si="41">Q24-R24</f>
        <v>0</v>
      </c>
    </row>
    <row r="25" spans="1:19" x14ac:dyDescent="0.2">
      <c r="A25" s="187" t="s">
        <v>368</v>
      </c>
      <c r="B25" s="169">
        <v>0</v>
      </c>
      <c r="C25" s="169">
        <v>0</v>
      </c>
      <c r="D25" s="308">
        <f t="shared" ref="D25:D32" si="42">B25-C25</f>
        <v>0</v>
      </c>
      <c r="E25" s="169">
        <f t="shared" si="33"/>
        <v>0</v>
      </c>
      <c r="F25" s="169">
        <f t="shared" si="33"/>
        <v>0</v>
      </c>
      <c r="G25" s="169">
        <f t="shared" ref="G25:G26" si="43">E25-F25</f>
        <v>0</v>
      </c>
      <c r="H25" s="208">
        <f t="shared" si="35"/>
        <v>0</v>
      </c>
      <c r="I25" s="208">
        <f t="shared" si="35"/>
        <v>0</v>
      </c>
      <c r="J25" s="208">
        <f t="shared" si="36"/>
        <v>0</v>
      </c>
      <c r="K25" s="208">
        <f t="shared" ref="K25:L32" si="44">H25</f>
        <v>0</v>
      </c>
      <c r="L25" s="208">
        <f t="shared" si="44"/>
        <v>0</v>
      </c>
      <c r="M25" s="208">
        <f t="shared" si="37"/>
        <v>0</v>
      </c>
      <c r="N25" s="208">
        <v>0</v>
      </c>
      <c r="O25" s="208">
        <v>0</v>
      </c>
      <c r="P25" s="208">
        <f t="shared" si="39"/>
        <v>0</v>
      </c>
      <c r="Q25" s="208">
        <f t="shared" si="40"/>
        <v>0</v>
      </c>
      <c r="R25" s="208">
        <f t="shared" si="40"/>
        <v>0</v>
      </c>
      <c r="S25" s="208">
        <f t="shared" si="41"/>
        <v>0</v>
      </c>
    </row>
    <row r="26" spans="1:19" x14ac:dyDescent="0.2">
      <c r="A26" s="187" t="s">
        <v>369</v>
      </c>
      <c r="B26" s="311">
        <v>1560.71</v>
      </c>
      <c r="C26" s="311">
        <v>1538.4</v>
      </c>
      <c r="D26" s="311">
        <f t="shared" si="42"/>
        <v>22.309999999999945</v>
      </c>
      <c r="E26" s="311">
        <f t="shared" si="33"/>
        <v>1560.71</v>
      </c>
      <c r="F26" s="311">
        <f t="shared" si="33"/>
        <v>1538.4</v>
      </c>
      <c r="G26" s="311">
        <f t="shared" si="43"/>
        <v>22.309999999999945</v>
      </c>
      <c r="H26" s="311">
        <f>E26</f>
        <v>1560.71</v>
      </c>
      <c r="I26" s="311">
        <f>F26</f>
        <v>1538.4</v>
      </c>
      <c r="J26" s="311">
        <f t="shared" si="36"/>
        <v>22.309999999999945</v>
      </c>
      <c r="K26" s="311">
        <f t="shared" si="44"/>
        <v>1560.71</v>
      </c>
      <c r="L26" s="311">
        <f t="shared" si="44"/>
        <v>1538.4</v>
      </c>
      <c r="M26" s="311">
        <f t="shared" si="37"/>
        <v>22.309999999999945</v>
      </c>
      <c r="N26" s="311">
        <f t="shared" ref="N26:O26" si="45">K26</f>
        <v>1560.71</v>
      </c>
      <c r="O26" s="311">
        <f t="shared" si="45"/>
        <v>1538.4</v>
      </c>
      <c r="P26" s="311">
        <f t="shared" si="39"/>
        <v>22.309999999999945</v>
      </c>
      <c r="Q26" s="311">
        <f t="shared" si="40"/>
        <v>1560.71</v>
      </c>
      <c r="R26" s="311">
        <f t="shared" si="40"/>
        <v>1538.4</v>
      </c>
      <c r="S26" s="311">
        <f t="shared" si="41"/>
        <v>22.309999999999945</v>
      </c>
    </row>
    <row r="27" spans="1:19" x14ac:dyDescent="0.2">
      <c r="A27" s="3" t="s">
        <v>370</v>
      </c>
      <c r="B27" s="169">
        <v>0</v>
      </c>
      <c r="C27" s="169">
        <v>0</v>
      </c>
      <c r="D27" s="308">
        <f t="shared" si="42"/>
        <v>0</v>
      </c>
      <c r="E27" s="208">
        <f t="shared" ref="E27:E32" si="46">B27</f>
        <v>0</v>
      </c>
      <c r="F27" s="208">
        <f t="shared" ref="F27:F32" si="47">C27</f>
        <v>0</v>
      </c>
      <c r="G27" s="208">
        <f t="shared" ref="G27:G32" si="48">E27-F27</f>
        <v>0</v>
      </c>
      <c r="H27" s="208">
        <f t="shared" si="35"/>
        <v>0</v>
      </c>
      <c r="I27" s="208">
        <f t="shared" si="35"/>
        <v>0</v>
      </c>
      <c r="J27" s="208">
        <f t="shared" si="36"/>
        <v>0</v>
      </c>
      <c r="K27" s="208">
        <v>3217.31</v>
      </c>
      <c r="L27" s="208">
        <v>3171.33</v>
      </c>
      <c r="M27" s="208">
        <f t="shared" si="37"/>
        <v>45.980000000000018</v>
      </c>
      <c r="N27" s="208">
        <f t="shared" ref="N27:O30" si="49">K27</f>
        <v>3217.31</v>
      </c>
      <c r="O27" s="208">
        <f t="shared" si="49"/>
        <v>3171.33</v>
      </c>
      <c r="P27" s="208">
        <f t="shared" si="39"/>
        <v>45.980000000000018</v>
      </c>
      <c r="Q27" s="208">
        <f t="shared" si="40"/>
        <v>3217.31</v>
      </c>
      <c r="R27" s="208">
        <f t="shared" si="40"/>
        <v>3171.33</v>
      </c>
      <c r="S27" s="208">
        <f t="shared" si="41"/>
        <v>45.980000000000018</v>
      </c>
    </row>
    <row r="28" spans="1:19" x14ac:dyDescent="0.2">
      <c r="A28" s="3" t="s">
        <v>371</v>
      </c>
      <c r="B28" s="175">
        <v>0</v>
      </c>
      <c r="C28" s="175">
        <v>0</v>
      </c>
      <c r="D28" s="175">
        <f>B28-C28</f>
        <v>0</v>
      </c>
      <c r="E28" s="208">
        <f>B28</f>
        <v>0</v>
      </c>
      <c r="F28" s="208">
        <f>C28</f>
        <v>0</v>
      </c>
      <c r="G28" s="208">
        <f>E28-F28</f>
        <v>0</v>
      </c>
      <c r="H28" s="208">
        <f>E28</f>
        <v>0</v>
      </c>
      <c r="I28" s="208">
        <f>F28</f>
        <v>0</v>
      </c>
      <c r="J28" s="208">
        <f>H28-I28</f>
        <v>0</v>
      </c>
      <c r="K28" s="208">
        <v>0</v>
      </c>
      <c r="L28" s="208">
        <v>0</v>
      </c>
      <c r="M28" s="208">
        <f>K28-L28</f>
        <v>0</v>
      </c>
      <c r="N28" s="208">
        <f t="shared" si="49"/>
        <v>0</v>
      </c>
      <c r="O28" s="208">
        <f t="shared" si="49"/>
        <v>0</v>
      </c>
      <c r="P28" s="208">
        <f>N28-O28</f>
        <v>0</v>
      </c>
      <c r="Q28" s="208">
        <f>N28</f>
        <v>0</v>
      </c>
      <c r="R28" s="208">
        <f>O28</f>
        <v>0</v>
      </c>
      <c r="S28" s="208">
        <f>Q28-R28</f>
        <v>0</v>
      </c>
    </row>
    <row r="29" spans="1:19" x14ac:dyDescent="0.2">
      <c r="A29" s="3" t="s">
        <v>374</v>
      </c>
      <c r="B29" s="169">
        <v>2660.83</v>
      </c>
      <c r="C29" s="169">
        <v>2622.8</v>
      </c>
      <c r="D29" s="308">
        <f t="shared" si="42"/>
        <v>38.029999999999745</v>
      </c>
      <c r="E29" s="208">
        <f t="shared" si="46"/>
        <v>2660.83</v>
      </c>
      <c r="F29" s="208">
        <f t="shared" si="47"/>
        <v>2622.8</v>
      </c>
      <c r="G29" s="208">
        <f t="shared" si="48"/>
        <v>38.029999999999745</v>
      </c>
      <c r="H29" s="208">
        <f t="shared" si="35"/>
        <v>2660.83</v>
      </c>
      <c r="I29" s="208">
        <f t="shared" si="35"/>
        <v>2622.8</v>
      </c>
      <c r="J29" s="208">
        <f t="shared" si="36"/>
        <v>38.029999999999745</v>
      </c>
      <c r="K29" s="208">
        <v>2217.36</v>
      </c>
      <c r="L29" s="208">
        <v>2185.67</v>
      </c>
      <c r="M29" s="208">
        <f t="shared" si="37"/>
        <v>31.690000000000055</v>
      </c>
      <c r="N29" s="208">
        <f t="shared" si="49"/>
        <v>2217.36</v>
      </c>
      <c r="O29" s="208">
        <f t="shared" si="49"/>
        <v>2185.67</v>
      </c>
      <c r="P29" s="208">
        <f t="shared" si="39"/>
        <v>31.690000000000055</v>
      </c>
      <c r="Q29" s="208">
        <f t="shared" si="40"/>
        <v>2217.36</v>
      </c>
      <c r="R29" s="208">
        <f t="shared" si="40"/>
        <v>2185.67</v>
      </c>
      <c r="S29" s="208">
        <f t="shared" si="41"/>
        <v>31.690000000000055</v>
      </c>
    </row>
    <row r="30" spans="1:19" x14ac:dyDescent="0.2">
      <c r="A30" s="187" t="s">
        <v>375</v>
      </c>
      <c r="B30" s="311">
        <v>1583.71</v>
      </c>
      <c r="C30" s="311">
        <v>1561.07</v>
      </c>
      <c r="D30" s="311">
        <f t="shared" ref="D30" si="50">B30-C30</f>
        <v>22.6400000000001</v>
      </c>
      <c r="E30" s="311">
        <f t="shared" ref="E30" si="51">B30</f>
        <v>1583.71</v>
      </c>
      <c r="F30" s="311">
        <f t="shared" ref="F30" si="52">C30</f>
        <v>1561.07</v>
      </c>
      <c r="G30" s="311">
        <f t="shared" ref="G30" si="53">E30-F30</f>
        <v>22.6400000000001</v>
      </c>
      <c r="H30" s="311">
        <f t="shared" ref="H30" si="54">E30</f>
        <v>1583.71</v>
      </c>
      <c r="I30" s="311">
        <f t="shared" ref="I30" si="55">F30</f>
        <v>1561.07</v>
      </c>
      <c r="J30" s="311">
        <f t="shared" ref="J30" si="56">H30-I30</f>
        <v>22.6400000000001</v>
      </c>
      <c r="K30" s="311">
        <v>1583.71</v>
      </c>
      <c r="L30" s="311">
        <v>1561.07</v>
      </c>
      <c r="M30" s="311">
        <f t="shared" ref="M30:M31" si="57">K30-L30</f>
        <v>22.6400000000001</v>
      </c>
      <c r="N30" s="311">
        <f t="shared" si="49"/>
        <v>1583.71</v>
      </c>
      <c r="O30" s="311">
        <f t="shared" si="49"/>
        <v>1561.07</v>
      </c>
      <c r="P30" s="311">
        <f t="shared" ref="P30" si="58">N30-O30</f>
        <v>22.6400000000001</v>
      </c>
      <c r="Q30" s="311">
        <f t="shared" ref="Q30" si="59">N30</f>
        <v>1583.71</v>
      </c>
      <c r="R30" s="311">
        <f t="shared" ref="R30" si="60">O30</f>
        <v>1561.07</v>
      </c>
      <c r="S30" s="311">
        <f t="shared" ref="S30" si="61">Q30-R30</f>
        <v>22.6400000000001</v>
      </c>
    </row>
    <row r="31" spans="1:19" x14ac:dyDescent="0.2">
      <c r="A31" s="3" t="s">
        <v>378</v>
      </c>
      <c r="B31" s="178">
        <v>2067.27</v>
      </c>
      <c r="C31" s="178">
        <v>1538.4</v>
      </c>
      <c r="D31" s="308">
        <f t="shared" si="42"/>
        <v>528.86999999999989</v>
      </c>
      <c r="E31" s="208">
        <f t="shared" si="46"/>
        <v>2067.27</v>
      </c>
      <c r="F31" s="208">
        <f t="shared" si="47"/>
        <v>1538.4</v>
      </c>
      <c r="G31" s="208">
        <f t="shared" si="48"/>
        <v>528.86999999999989</v>
      </c>
      <c r="H31" s="208">
        <f t="shared" si="35"/>
        <v>2067.27</v>
      </c>
      <c r="I31" s="208">
        <f t="shared" si="35"/>
        <v>1538.4</v>
      </c>
      <c r="J31" s="208">
        <f t="shared" si="36"/>
        <v>528.86999999999989</v>
      </c>
      <c r="K31" s="311">
        <f t="shared" ref="K31" si="62">H31</f>
        <v>2067.27</v>
      </c>
      <c r="L31" s="311">
        <f t="shared" ref="L31" si="63">I31</f>
        <v>1538.4</v>
      </c>
      <c r="M31" s="311">
        <f t="shared" si="57"/>
        <v>528.86999999999989</v>
      </c>
      <c r="N31" s="208">
        <v>0</v>
      </c>
      <c r="O31" s="208">
        <v>0</v>
      </c>
      <c r="P31" s="208">
        <f t="shared" si="39"/>
        <v>0</v>
      </c>
      <c r="Q31" s="208">
        <f t="shared" si="40"/>
        <v>0</v>
      </c>
      <c r="R31" s="208">
        <f t="shared" si="40"/>
        <v>0</v>
      </c>
      <c r="S31" s="208">
        <f t="shared" si="41"/>
        <v>0</v>
      </c>
    </row>
    <row r="32" spans="1:19" x14ac:dyDescent="0.2">
      <c r="A32" s="3" t="s">
        <v>376</v>
      </c>
      <c r="B32" s="169">
        <v>791.85</v>
      </c>
      <c r="C32" s="169">
        <v>780.53</v>
      </c>
      <c r="D32" s="308">
        <f t="shared" si="42"/>
        <v>11.32000000000005</v>
      </c>
      <c r="E32" s="208">
        <f t="shared" si="46"/>
        <v>791.85</v>
      </c>
      <c r="F32" s="208">
        <f t="shared" si="47"/>
        <v>780.53</v>
      </c>
      <c r="G32" s="208">
        <f t="shared" si="48"/>
        <v>11.32000000000005</v>
      </c>
      <c r="H32" s="208">
        <f>E32</f>
        <v>791.85</v>
      </c>
      <c r="I32" s="208">
        <f t="shared" si="35"/>
        <v>780.53</v>
      </c>
      <c r="J32" s="208">
        <f t="shared" si="36"/>
        <v>11.32000000000005</v>
      </c>
      <c r="K32" s="208">
        <f t="shared" si="44"/>
        <v>791.85</v>
      </c>
      <c r="L32" s="208">
        <f t="shared" si="44"/>
        <v>780.53</v>
      </c>
      <c r="M32" s="208">
        <f t="shared" si="37"/>
        <v>11.32000000000005</v>
      </c>
      <c r="N32" s="208">
        <v>0</v>
      </c>
      <c r="O32" s="208">
        <v>0</v>
      </c>
      <c r="P32" s="208">
        <f t="shared" si="39"/>
        <v>0</v>
      </c>
      <c r="Q32" s="208">
        <f t="shared" si="40"/>
        <v>0</v>
      </c>
      <c r="R32" s="208">
        <f t="shared" si="40"/>
        <v>0</v>
      </c>
      <c r="S32" s="208">
        <f t="shared" si="41"/>
        <v>0</v>
      </c>
    </row>
    <row r="33" spans="1:19" x14ac:dyDescent="0.2">
      <c r="A33" s="166" t="s">
        <v>273</v>
      </c>
      <c r="B33" s="53">
        <f>SUM(B24:B32)</f>
        <v>8664.3700000000008</v>
      </c>
      <c r="C33" s="53">
        <f t="shared" ref="C33:S33" si="64">SUM(C24:C32)</f>
        <v>8041.2</v>
      </c>
      <c r="D33" s="53">
        <f t="shared" si="64"/>
        <v>623.16999999999973</v>
      </c>
      <c r="E33" s="53">
        <f t="shared" si="64"/>
        <v>8664.3700000000008</v>
      </c>
      <c r="F33" s="53">
        <f t="shared" si="64"/>
        <v>8041.2</v>
      </c>
      <c r="G33" s="53">
        <f t="shared" si="64"/>
        <v>623.16999999999973</v>
      </c>
      <c r="H33" s="53">
        <f t="shared" si="64"/>
        <v>8664.3700000000008</v>
      </c>
      <c r="I33" s="53">
        <f t="shared" si="64"/>
        <v>8041.2</v>
      </c>
      <c r="J33" s="53">
        <f t="shared" si="64"/>
        <v>623.16999999999973</v>
      </c>
      <c r="K33" s="53">
        <f t="shared" si="64"/>
        <v>11438.210000000001</v>
      </c>
      <c r="L33" s="53">
        <f t="shared" si="64"/>
        <v>10775.4</v>
      </c>
      <c r="M33" s="53">
        <f t="shared" si="64"/>
        <v>662.81000000000006</v>
      </c>
      <c r="N33" s="53">
        <f t="shared" si="64"/>
        <v>8579.09</v>
      </c>
      <c r="O33" s="53">
        <f t="shared" si="64"/>
        <v>8456.4699999999993</v>
      </c>
      <c r="P33" s="53">
        <f t="shared" si="64"/>
        <v>122.62000000000012</v>
      </c>
      <c r="Q33" s="53">
        <f t="shared" si="64"/>
        <v>8579.09</v>
      </c>
      <c r="R33" s="53">
        <f t="shared" si="64"/>
        <v>8456.4699999999993</v>
      </c>
      <c r="S33" s="53">
        <f t="shared" si="64"/>
        <v>122.62000000000012</v>
      </c>
    </row>
    <row r="34" spans="1:19" x14ac:dyDescent="0.2">
      <c r="A34" s="187" t="s">
        <v>367</v>
      </c>
      <c r="B34" s="169">
        <f>Q14</f>
        <v>1096.7</v>
      </c>
      <c r="C34" s="169">
        <v>816.13</v>
      </c>
      <c r="D34" s="169">
        <f t="shared" ref="D34:D39" si="65">B34-C34</f>
        <v>280.57000000000005</v>
      </c>
      <c r="E34" s="169">
        <f t="shared" ref="E34:F36" si="66">B34</f>
        <v>1096.7</v>
      </c>
      <c r="F34" s="169">
        <f t="shared" si="66"/>
        <v>816.13</v>
      </c>
      <c r="G34" s="169">
        <f>E34-F34</f>
        <v>280.57000000000005</v>
      </c>
      <c r="H34" s="208">
        <f t="shared" ref="H34:I39" si="67">E34</f>
        <v>1096.7</v>
      </c>
      <c r="I34" s="208">
        <f t="shared" si="67"/>
        <v>816.13</v>
      </c>
      <c r="J34" s="208">
        <f t="shared" ref="J34:J39" si="68">H34-I34</f>
        <v>280.57000000000005</v>
      </c>
      <c r="K34" s="208">
        <f t="shared" ref="K34:L37" si="69">H34</f>
        <v>1096.7</v>
      </c>
      <c r="L34" s="208">
        <f t="shared" si="69"/>
        <v>816.13</v>
      </c>
      <c r="M34" s="208">
        <f t="shared" ref="M34:M39" si="70">K34-L34</f>
        <v>280.57000000000005</v>
      </c>
      <c r="N34" s="208">
        <f>K34</f>
        <v>1096.7</v>
      </c>
      <c r="O34" s="208">
        <f>L34</f>
        <v>816.13</v>
      </c>
      <c r="P34" s="208">
        <f t="shared" ref="P34:P39" si="71">N34-O34</f>
        <v>280.57000000000005</v>
      </c>
      <c r="Q34" s="208">
        <f t="shared" ref="Q34:R39" si="72">N34</f>
        <v>1096.7</v>
      </c>
      <c r="R34" s="208">
        <f t="shared" si="72"/>
        <v>816.13</v>
      </c>
      <c r="S34" s="208">
        <f t="shared" ref="S34:S39" si="73">Q34-R34</f>
        <v>280.57000000000005</v>
      </c>
    </row>
    <row r="35" spans="1:19" x14ac:dyDescent="0.2">
      <c r="A35" s="187" t="s">
        <v>368</v>
      </c>
      <c r="B35" s="234">
        <v>3804.59</v>
      </c>
      <c r="C35" s="234">
        <v>2307.6</v>
      </c>
      <c r="D35" s="308">
        <f t="shared" si="65"/>
        <v>1496.9900000000002</v>
      </c>
      <c r="E35" s="234">
        <f t="shared" si="66"/>
        <v>3804.59</v>
      </c>
      <c r="F35" s="234">
        <f t="shared" si="66"/>
        <v>2307.6</v>
      </c>
      <c r="G35" s="234">
        <f>E35-F35</f>
        <v>1496.9900000000002</v>
      </c>
      <c r="H35" s="234">
        <f>3804.74+0.3</f>
        <v>3805.04</v>
      </c>
      <c r="I35" s="234">
        <f>F35</f>
        <v>2307.6</v>
      </c>
      <c r="J35" s="234">
        <f>H35-I35</f>
        <v>1497.44</v>
      </c>
      <c r="K35" s="234">
        <f>2810.59-(1255.57*3)</f>
        <v>-956.11999999999989</v>
      </c>
      <c r="L35" s="234">
        <f>1803.77-(761.51*3)</f>
        <v>-480.75999999999976</v>
      </c>
      <c r="M35" s="234">
        <f>K35-L35</f>
        <v>-475.36000000000013</v>
      </c>
      <c r="N35" s="311">
        <f>2810.59-1255.57</f>
        <v>1555.0200000000002</v>
      </c>
      <c r="O35" s="311">
        <f>1803.77-761.51</f>
        <v>1042.26</v>
      </c>
      <c r="P35" s="311">
        <f t="shared" si="71"/>
        <v>512.76000000000022</v>
      </c>
      <c r="Q35" s="311">
        <f t="shared" si="72"/>
        <v>1555.0200000000002</v>
      </c>
      <c r="R35" s="311">
        <f t="shared" si="72"/>
        <v>1042.26</v>
      </c>
      <c r="S35" s="311">
        <f t="shared" si="73"/>
        <v>512.76000000000022</v>
      </c>
    </row>
    <row r="36" spans="1:19" x14ac:dyDescent="0.2">
      <c r="A36" s="182" t="s">
        <v>369</v>
      </c>
      <c r="B36" s="183">
        <v>0</v>
      </c>
      <c r="C36" s="183">
        <v>0</v>
      </c>
      <c r="D36" s="308">
        <f t="shared" si="65"/>
        <v>0</v>
      </c>
      <c r="E36" s="208">
        <f t="shared" si="66"/>
        <v>0</v>
      </c>
      <c r="F36" s="208">
        <f t="shared" si="66"/>
        <v>0</v>
      </c>
      <c r="G36" s="208">
        <f>E36-F36</f>
        <v>0</v>
      </c>
      <c r="H36" s="208">
        <f>E36</f>
        <v>0</v>
      </c>
      <c r="I36" s="208">
        <f>F36</f>
        <v>0</v>
      </c>
      <c r="J36" s="208">
        <f>H36-I36</f>
        <v>0</v>
      </c>
      <c r="K36" s="208">
        <v>0</v>
      </c>
      <c r="L36" s="208">
        <v>0</v>
      </c>
      <c r="M36" s="208">
        <f>K36-L36</f>
        <v>0</v>
      </c>
      <c r="N36" s="208">
        <f>K36</f>
        <v>0</v>
      </c>
      <c r="O36" s="208">
        <f>L36</f>
        <v>0</v>
      </c>
      <c r="P36" s="208">
        <f>N36-O36</f>
        <v>0</v>
      </c>
      <c r="Q36" s="208">
        <f>N36</f>
        <v>0</v>
      </c>
      <c r="R36" s="208">
        <f>O36</f>
        <v>0</v>
      </c>
      <c r="S36" s="208">
        <f>Q36-R36</f>
        <v>0</v>
      </c>
    </row>
    <row r="37" spans="1:19" x14ac:dyDescent="0.2">
      <c r="A37" s="3" t="s">
        <v>370</v>
      </c>
      <c r="B37" s="169">
        <f t="shared" ref="B37:C39" si="74">Q17</f>
        <v>2875.69</v>
      </c>
      <c r="C37" s="169">
        <f t="shared" si="74"/>
        <v>2140</v>
      </c>
      <c r="D37" s="169">
        <f t="shared" si="65"/>
        <v>735.69</v>
      </c>
      <c r="E37" s="208">
        <f t="shared" ref="E37:E39" si="75">B37</f>
        <v>2875.69</v>
      </c>
      <c r="F37" s="208">
        <f t="shared" ref="F37:F39" si="76">C37</f>
        <v>2140</v>
      </c>
      <c r="G37" s="208">
        <f t="shared" ref="G37:G39" si="77">E37-F37</f>
        <v>735.69</v>
      </c>
      <c r="H37" s="208">
        <f t="shared" si="67"/>
        <v>2875.69</v>
      </c>
      <c r="I37" s="208">
        <f t="shared" si="67"/>
        <v>2140</v>
      </c>
      <c r="J37" s="208">
        <f t="shared" si="68"/>
        <v>735.69</v>
      </c>
      <c r="K37" s="208">
        <f t="shared" si="69"/>
        <v>2875.69</v>
      </c>
      <c r="L37" s="208">
        <f t="shared" si="69"/>
        <v>2140</v>
      </c>
      <c r="M37" s="208">
        <f t="shared" si="70"/>
        <v>735.69</v>
      </c>
      <c r="N37" s="208">
        <f t="shared" ref="N37:O39" si="78">K37</f>
        <v>2875.69</v>
      </c>
      <c r="O37" s="208">
        <f t="shared" si="78"/>
        <v>2140</v>
      </c>
      <c r="P37" s="208">
        <f t="shared" si="71"/>
        <v>735.69</v>
      </c>
      <c r="Q37" s="208">
        <f t="shared" si="72"/>
        <v>2875.69</v>
      </c>
      <c r="R37" s="208">
        <f t="shared" si="72"/>
        <v>2140</v>
      </c>
      <c r="S37" s="208">
        <f t="shared" si="73"/>
        <v>735.69</v>
      </c>
    </row>
    <row r="38" spans="1:19" x14ac:dyDescent="0.2">
      <c r="A38" s="184" t="s">
        <v>371</v>
      </c>
      <c r="B38" s="185">
        <v>1709.5</v>
      </c>
      <c r="C38" s="185">
        <v>1685.07</v>
      </c>
      <c r="D38" s="308">
        <f t="shared" si="65"/>
        <v>24.430000000000064</v>
      </c>
      <c r="E38" s="208">
        <f>B38</f>
        <v>1709.5</v>
      </c>
      <c r="F38" s="208">
        <f>C38</f>
        <v>1685.07</v>
      </c>
      <c r="G38" s="208">
        <f>E38-F38</f>
        <v>24.430000000000064</v>
      </c>
      <c r="H38" s="208">
        <f>1709.5+7.25</f>
        <v>1716.75</v>
      </c>
      <c r="I38" s="208">
        <f>F38</f>
        <v>1685.07</v>
      </c>
      <c r="J38" s="208">
        <f>H38-I38</f>
        <v>31.680000000000064</v>
      </c>
      <c r="K38" s="311">
        <v>854.75</v>
      </c>
      <c r="L38" s="311">
        <v>842.53</v>
      </c>
      <c r="M38" s="311">
        <f t="shared" si="70"/>
        <v>12.220000000000027</v>
      </c>
      <c r="N38" s="311">
        <f t="shared" si="78"/>
        <v>854.75</v>
      </c>
      <c r="O38" s="311">
        <f t="shared" si="78"/>
        <v>842.53</v>
      </c>
      <c r="P38" s="311">
        <f t="shared" si="71"/>
        <v>12.220000000000027</v>
      </c>
      <c r="Q38" s="311">
        <f t="shared" si="72"/>
        <v>854.75</v>
      </c>
      <c r="R38" s="311">
        <f t="shared" si="72"/>
        <v>842.53</v>
      </c>
      <c r="S38" s="311">
        <f t="shared" si="73"/>
        <v>12.220000000000027</v>
      </c>
    </row>
    <row r="39" spans="1:19" x14ac:dyDescent="0.2">
      <c r="A39" s="187" t="s">
        <v>374</v>
      </c>
      <c r="B39" s="169">
        <f t="shared" si="74"/>
        <v>4718.03</v>
      </c>
      <c r="C39" s="169">
        <f t="shared" si="74"/>
        <v>3497.07</v>
      </c>
      <c r="D39" s="169">
        <f t="shared" si="65"/>
        <v>1220.9599999999996</v>
      </c>
      <c r="E39" s="208">
        <f t="shared" si="75"/>
        <v>4718.03</v>
      </c>
      <c r="F39" s="208">
        <f t="shared" si="76"/>
        <v>3497.07</v>
      </c>
      <c r="G39" s="208">
        <f t="shared" si="77"/>
        <v>1220.9599999999996</v>
      </c>
      <c r="H39" s="208">
        <f>4718.18+0.3</f>
        <v>4718.4800000000005</v>
      </c>
      <c r="I39" s="208">
        <f t="shared" si="67"/>
        <v>3497.07</v>
      </c>
      <c r="J39" s="208">
        <f t="shared" si="68"/>
        <v>1221.4100000000003</v>
      </c>
      <c r="K39" s="208">
        <v>4718.18</v>
      </c>
      <c r="L39" s="208">
        <v>3497.07</v>
      </c>
      <c r="M39" s="208">
        <f t="shared" si="70"/>
        <v>1221.1100000000001</v>
      </c>
      <c r="N39" s="208">
        <f t="shared" si="78"/>
        <v>4718.18</v>
      </c>
      <c r="O39" s="208">
        <f t="shared" si="78"/>
        <v>3497.07</v>
      </c>
      <c r="P39" s="208">
        <f t="shared" si="71"/>
        <v>1221.1100000000001</v>
      </c>
      <c r="Q39" s="208">
        <f t="shared" si="72"/>
        <v>4718.18</v>
      </c>
      <c r="R39" s="208">
        <f t="shared" si="72"/>
        <v>3497.07</v>
      </c>
      <c r="S39" s="208">
        <f t="shared" si="73"/>
        <v>1221.1100000000001</v>
      </c>
    </row>
    <row r="40" spans="1:19" x14ac:dyDescent="0.2">
      <c r="A40" s="112" t="s">
        <v>274</v>
      </c>
      <c r="B40" s="168">
        <f>SUM(B34:B39)</f>
        <v>14204.509999999998</v>
      </c>
      <c r="C40" s="352">
        <f t="shared" ref="C40:S40" si="79">SUM(C34:C39)</f>
        <v>10445.869999999999</v>
      </c>
      <c r="D40" s="352">
        <f t="shared" si="79"/>
        <v>3758.64</v>
      </c>
      <c r="E40" s="352">
        <f t="shared" si="79"/>
        <v>14204.509999999998</v>
      </c>
      <c r="F40" s="352">
        <f t="shared" si="79"/>
        <v>10445.869999999999</v>
      </c>
      <c r="G40" s="352">
        <f t="shared" si="79"/>
        <v>3758.64</v>
      </c>
      <c r="H40" s="352">
        <f t="shared" si="79"/>
        <v>14212.66</v>
      </c>
      <c r="I40" s="352">
        <f t="shared" si="79"/>
        <v>10445.869999999999</v>
      </c>
      <c r="J40" s="352">
        <f t="shared" si="79"/>
        <v>3766.7900000000004</v>
      </c>
      <c r="K40" s="352">
        <f t="shared" si="79"/>
        <v>8589.2000000000007</v>
      </c>
      <c r="L40" s="352">
        <f t="shared" si="79"/>
        <v>6814.9700000000012</v>
      </c>
      <c r="M40" s="352">
        <f t="shared" si="79"/>
        <v>1774.23</v>
      </c>
      <c r="N40" s="352">
        <f t="shared" si="79"/>
        <v>11100.34</v>
      </c>
      <c r="O40" s="352">
        <f t="shared" si="79"/>
        <v>8337.99</v>
      </c>
      <c r="P40" s="352">
        <f t="shared" si="79"/>
        <v>2762.3500000000004</v>
      </c>
      <c r="Q40" s="352">
        <f t="shared" si="79"/>
        <v>11100.34</v>
      </c>
      <c r="R40" s="352">
        <f t="shared" si="79"/>
        <v>8337.99</v>
      </c>
      <c r="S40" s="352">
        <f t="shared" si="79"/>
        <v>2762.3500000000004</v>
      </c>
    </row>
    <row r="41" spans="1:19" x14ac:dyDescent="0.2">
      <c r="A41" s="112"/>
      <c r="B41" s="168">
        <f>B40+B33</f>
        <v>22868.879999999997</v>
      </c>
      <c r="C41" s="352">
        <f t="shared" ref="C41:S41" si="80">C40+C33</f>
        <v>18487.07</v>
      </c>
      <c r="D41" s="352">
        <f t="shared" si="80"/>
        <v>4381.8099999999995</v>
      </c>
      <c r="E41" s="352">
        <f t="shared" si="80"/>
        <v>22868.879999999997</v>
      </c>
      <c r="F41" s="352">
        <f t="shared" si="80"/>
        <v>18487.07</v>
      </c>
      <c r="G41" s="352">
        <f t="shared" si="80"/>
        <v>4381.8099999999995</v>
      </c>
      <c r="H41" s="352">
        <f t="shared" si="80"/>
        <v>22877.03</v>
      </c>
      <c r="I41" s="352">
        <f t="shared" si="80"/>
        <v>18487.07</v>
      </c>
      <c r="J41" s="352">
        <f t="shared" si="80"/>
        <v>4389.96</v>
      </c>
      <c r="K41" s="352">
        <f t="shared" si="80"/>
        <v>20027.410000000003</v>
      </c>
      <c r="L41" s="352">
        <f t="shared" si="80"/>
        <v>17590.370000000003</v>
      </c>
      <c r="M41" s="352">
        <f t="shared" si="80"/>
        <v>2437.04</v>
      </c>
      <c r="N41" s="352">
        <f t="shared" si="80"/>
        <v>19679.43</v>
      </c>
      <c r="O41" s="352">
        <f t="shared" si="80"/>
        <v>16794.46</v>
      </c>
      <c r="P41" s="352">
        <f t="shared" si="80"/>
        <v>2884.9700000000003</v>
      </c>
      <c r="Q41" s="352">
        <f t="shared" si="80"/>
        <v>19679.43</v>
      </c>
      <c r="R41" s="352">
        <f t="shared" si="80"/>
        <v>16794.46</v>
      </c>
      <c r="S41" s="352">
        <f t="shared" si="80"/>
        <v>2884.9700000000003</v>
      </c>
    </row>
    <row r="42" spans="1:19" ht="12.75" customHeight="1" x14ac:dyDescent="0.2">
      <c r="B42" s="22"/>
      <c r="C42" s="22"/>
      <c r="D42" s="22"/>
      <c r="E42" s="22"/>
      <c r="F42" s="22"/>
      <c r="G42" s="22"/>
    </row>
    <row r="43" spans="1:19" x14ac:dyDescent="0.2">
      <c r="B43" s="391" t="s">
        <v>108</v>
      </c>
      <c r="C43" s="391"/>
      <c r="D43" s="391"/>
      <c r="E43" s="384">
        <f>C21+F21+I21+L21+O21+R21+C41+F41+I41+L41+O41+R41</f>
        <v>206210.06999999998</v>
      </c>
      <c r="F43" s="385"/>
      <c r="H43" s="113"/>
    </row>
    <row r="44" spans="1:19" x14ac:dyDescent="0.2">
      <c r="B44" s="391" t="s">
        <v>109</v>
      </c>
      <c r="C44" s="391"/>
      <c r="D44" s="391"/>
      <c r="E44" s="384">
        <f>D21+G21+J21+M21+P21+S21+D41+G41+J41+M41+P41+S41</f>
        <v>42181.61</v>
      </c>
      <c r="F44" s="385"/>
      <c r="H44" s="113"/>
    </row>
    <row r="45" spans="1:19" x14ac:dyDescent="0.2">
      <c r="B45" s="387" t="s">
        <v>110</v>
      </c>
      <c r="C45" s="388"/>
      <c r="D45" s="389"/>
      <c r="E45" s="377">
        <f>SUM(E43:F44)</f>
        <v>248391.67999999999</v>
      </c>
      <c r="F45" s="378"/>
      <c r="H45" s="113"/>
      <c r="O45" s="55" t="s">
        <v>47</v>
      </c>
    </row>
    <row r="46" spans="1:19" ht="24.75" customHeight="1" x14ac:dyDescent="0.2"/>
  </sheetData>
  <sortState ref="A3:S15">
    <sortCondition ref="A3:A15"/>
  </sortState>
  <mergeCells count="18">
    <mergeCell ref="Q22:S22"/>
    <mergeCell ref="B1:D1"/>
    <mergeCell ref="E1:G1"/>
    <mergeCell ref="H1:J1"/>
    <mergeCell ref="K1:M1"/>
    <mergeCell ref="N1:P1"/>
    <mergeCell ref="Q1:S1"/>
    <mergeCell ref="B22:D22"/>
    <mergeCell ref="E22:G22"/>
    <mergeCell ref="H22:J22"/>
    <mergeCell ref="K22:M22"/>
    <mergeCell ref="N22:P22"/>
    <mergeCell ref="B45:D45"/>
    <mergeCell ref="E45:F45"/>
    <mergeCell ref="B43:D43"/>
    <mergeCell ref="E43:F43"/>
    <mergeCell ref="B44:D44"/>
    <mergeCell ref="E44:F44"/>
  </mergeCells>
  <printOptions horizontalCentered="1" gridLines="1"/>
  <pageMargins left="0" right="0" top="0.75" bottom="0" header="0.3" footer="0.3"/>
  <pageSetup scale="80" orientation="landscape" r:id="rId1"/>
  <headerFooter>
    <oddHeader>&amp;LElectrical Engineering Department&amp;C Budget and Expenditure Projection 2016-17
&amp;R&amp;A</oddHeader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3</vt:i4>
      </vt:variant>
    </vt:vector>
  </HeadingPairs>
  <TitlesOfParts>
    <vt:vector size="25" baseType="lpstr">
      <vt:lpstr>CENGReport</vt:lpstr>
      <vt:lpstr>Budget</vt:lpstr>
      <vt:lpstr>Summary</vt:lpstr>
      <vt:lpstr>Faculty</vt:lpstr>
      <vt:lpstr>SummerSession-Misc</vt:lpstr>
      <vt:lpstr>Dept Chair</vt:lpstr>
      <vt:lpstr>MgmtSuper</vt:lpstr>
      <vt:lpstr>Full-time Lecturers</vt:lpstr>
      <vt:lpstr>Part-time Lecturers</vt:lpstr>
      <vt:lpstr>Staff</vt:lpstr>
      <vt:lpstr>TAs</vt:lpstr>
      <vt:lpstr>ISA's</vt:lpstr>
      <vt:lpstr>SA - Admin</vt:lpstr>
      <vt:lpstr>SA-Tech's</vt:lpstr>
      <vt:lpstr>O&amp;E</vt:lpstr>
      <vt:lpstr>Lottery</vt:lpstr>
      <vt:lpstr>Forbes Prof</vt:lpstr>
      <vt:lpstr>GS597</vt:lpstr>
      <vt:lpstr>CBF</vt:lpstr>
      <vt:lpstr>SSF</vt:lpstr>
      <vt:lpstr>CPP</vt:lpstr>
      <vt:lpstr>Sheet2</vt:lpstr>
      <vt:lpstr>'ISA''s'!Print_Area</vt:lpstr>
      <vt:lpstr>Budget!Print_Titles</vt:lpstr>
      <vt:lpstr>Summary!Print_Titles</vt:lpstr>
    </vt:vector>
  </TitlesOfParts>
  <Company>Cal Poly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rlburnsi</dc:creator>
  <cp:lastModifiedBy>Lani Woods</cp:lastModifiedBy>
  <cp:lastPrinted>2017-05-25T21:39:28Z</cp:lastPrinted>
  <dcterms:created xsi:type="dcterms:W3CDTF">2009-04-15T16:11:22Z</dcterms:created>
  <dcterms:modified xsi:type="dcterms:W3CDTF">2017-05-25T21:40:49Z</dcterms:modified>
</cp:coreProperties>
</file>