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Juliana\Financial Planning Calculator\"/>
    </mc:Choice>
  </mc:AlternateContent>
  <bookViews>
    <workbookView xWindow="0" yWindow="0" windowWidth="25200" windowHeight="11985"/>
  </bookViews>
  <sheets>
    <sheet name="Housing Financial Planning " sheetId="1" r:id="rId1"/>
    <sheet name="Formulas" sheetId="2" r:id="rId2"/>
  </sheets>
  <externalReferences>
    <externalReference r:id="rId3"/>
  </externalReferences>
  <definedNames>
    <definedName name="Class">Formulas!$E$2:$E$4</definedName>
    <definedName name="Meals">Formulas!$G$6:$G$9</definedName>
    <definedName name="Meals_1">Formulas!$G$6:$G$10</definedName>
    <definedName name="Meals_2">Formulas!$G$2:$G$18</definedName>
    <definedName name="Meals_3">Formulas!$G$2:$G$10</definedName>
    <definedName name="meals3">Formulas!$G$2:$G$18</definedName>
    <definedName name="Payments">Formulas!$J$2:$J$4</definedName>
    <definedName name="_xlnm.Print_Area" localSheetId="0">'Housing Financial Planning '!$A$1:$H$111</definedName>
    <definedName name="Room_Type">Formulas!$F$2:$F$7</definedName>
    <definedName name="Room_Type1">Formulas!$F$2:$F$8</definedName>
    <definedName name="Roomtype_1">Formulas!$F$2:$F$8</definedName>
    <definedName name="Term">Formulas!#REF!</definedName>
    <definedName name="Term_1">Formulas!#REF!</definedName>
    <definedName name="Term_2">Formulas!#REF!</definedName>
    <definedName name="Term_3">Formulas!#REF!</definedName>
    <definedName name="Term_4">Formulas!$D$2:$D$6</definedName>
    <definedName name="Term_5">Formulas!$J$24:$J$26</definedName>
    <definedName name="Term_6">Formulas!$D$2:$D$5</definedName>
    <definedName name="Winter">Formulas!$I$2:$I$3</definedName>
    <definedName name="YesNO">Formulas!$D$60:$D$61</definedName>
  </definedNames>
  <calcPr calcId="162913"/>
</workbook>
</file>

<file path=xl/calcChain.xml><?xml version="1.0" encoding="utf-8"?>
<calcChain xmlns="http://schemas.openxmlformats.org/spreadsheetml/2006/main">
  <c r="D96" i="2" l="1"/>
  <c r="R46" i="1" l="1"/>
  <c r="C28" i="1"/>
  <c r="C46" i="1" l="1"/>
  <c r="E46" i="1"/>
  <c r="E17" i="1" l="1"/>
  <c r="C26" i="1"/>
  <c r="D78" i="2" l="1"/>
  <c r="D79" i="2" s="1"/>
  <c r="G70" i="2"/>
  <c r="G72" i="2" s="1"/>
  <c r="G86" i="2" s="1"/>
  <c r="H52" i="2"/>
  <c r="H51" i="2"/>
  <c r="H50" i="2"/>
  <c r="H49" i="2"/>
  <c r="H48" i="2"/>
  <c r="H47" i="2"/>
  <c r="H46" i="2"/>
  <c r="H45" i="2"/>
  <c r="H44" i="2"/>
  <c r="H43" i="2"/>
  <c r="H42" i="2"/>
  <c r="H41" i="2"/>
  <c r="H40" i="2"/>
  <c r="H39" i="2"/>
  <c r="H38" i="2"/>
  <c r="H37" i="2"/>
  <c r="H36" i="2"/>
  <c r="H35" i="2"/>
  <c r="H34" i="2"/>
  <c r="H33" i="2"/>
  <c r="K32" i="2"/>
  <c r="H32" i="2"/>
  <c r="H31" i="2"/>
  <c r="H30" i="2"/>
  <c r="H29" i="2"/>
  <c r="H28" i="2"/>
  <c r="H27" i="2"/>
  <c r="H26" i="2"/>
  <c r="H25" i="2"/>
  <c r="H24" i="2"/>
  <c r="H23" i="2"/>
  <c r="H22" i="2"/>
  <c r="H21" i="2"/>
  <c r="H20" i="2"/>
  <c r="H19" i="2"/>
  <c r="H18" i="2"/>
  <c r="H17" i="2"/>
  <c r="A111" i="1"/>
  <c r="C36" i="1"/>
  <c r="C35" i="1"/>
  <c r="C34" i="1"/>
  <c r="C25" i="1"/>
  <c r="E20" i="1"/>
  <c r="E15" i="1"/>
  <c r="L46" i="1" l="1"/>
  <c r="D53" i="1" s="1"/>
  <c r="Q46" i="1"/>
  <c r="C27" i="1"/>
  <c r="F46" i="1" s="1"/>
  <c r="C37" i="1"/>
  <c r="H46" i="1"/>
  <c r="G71" i="2"/>
  <c r="G78" i="2"/>
  <c r="C38" i="1" l="1"/>
  <c r="C41" i="1" s="1"/>
  <c r="C42" i="1" s="1"/>
  <c r="J46" i="1" s="1"/>
  <c r="E64" i="1"/>
  <c r="E65" i="1"/>
  <c r="E70" i="1"/>
  <c r="E66" i="1"/>
  <c r="E59" i="1"/>
  <c r="E67" i="1"/>
  <c r="E60" i="1"/>
  <c r="E68" i="1"/>
  <c r="E61" i="1"/>
  <c r="E69" i="1"/>
  <c r="E62" i="1"/>
  <c r="E71" i="1"/>
  <c r="E63" i="1"/>
  <c r="G75" i="2"/>
  <c r="G85" i="2"/>
  <c r="D70" i="2" l="1"/>
  <c r="D73" i="2" s="1"/>
  <c r="E72" i="1"/>
  <c r="E74" i="1" s="1"/>
  <c r="D74" i="2" l="1"/>
  <c r="D75" i="2" s="1"/>
  <c r="D72" i="2"/>
  <c r="D88" i="2" s="1"/>
  <c r="D89" i="2" s="1"/>
  <c r="D71" i="2"/>
  <c r="D87" i="2" s="1"/>
  <c r="D83" i="2"/>
  <c r="D82" i="2"/>
  <c r="D91" i="2"/>
  <c r="D76" i="2"/>
  <c r="D90" i="2" l="1"/>
  <c r="B65" i="1" s="1"/>
  <c r="B59" i="1"/>
  <c r="B61" i="1"/>
  <c r="B67" i="1"/>
  <c r="B68" i="1"/>
  <c r="B62" i="1"/>
  <c r="B60" i="1"/>
  <c r="B66" i="1"/>
  <c r="B64" i="1"/>
  <c r="B63" i="1"/>
  <c r="B69" i="1" l="1"/>
  <c r="B74" i="1" s="1"/>
</calcChain>
</file>

<file path=xl/comments1.xml><?xml version="1.0" encoding="utf-8"?>
<comments xmlns="http://schemas.openxmlformats.org/spreadsheetml/2006/main">
  <authors>
    <author>RA Housing</author>
  </authors>
  <commentList>
    <comment ref="E38" authorId="0" shapeId="0">
      <text>
        <r>
          <rPr>
            <b/>
            <sz val="9"/>
            <color indexed="81"/>
            <rFont val="Tahoma"/>
            <family val="2"/>
          </rPr>
          <t>RA Housing:</t>
        </r>
        <r>
          <rPr>
            <sz val="9"/>
            <color indexed="81"/>
            <rFont val="Tahoma"/>
            <family val="2"/>
          </rPr>
          <t xml:space="preserve">
Renee, I changed those according to the Year Round Contract. </t>
        </r>
      </text>
    </comment>
  </commentList>
</comments>
</file>

<file path=xl/sharedStrings.xml><?xml version="1.0" encoding="utf-8"?>
<sst xmlns="http://schemas.openxmlformats.org/spreadsheetml/2006/main" count="239" uniqueCount="167">
  <si>
    <t>Note: This calculator is an ESTIMATE ONLY, and is intended to aid in the estimation and planning of student housing affordability</t>
  </si>
  <si>
    <t>****THIS CALCULATION IS BASED ON FULL-TIME ENROLLMENT STATUS****</t>
  </si>
  <si>
    <t>Important - Once you have completed the Housing Calculator, print out a copy for your records (in the event your financial aid award is adjusted)</t>
  </si>
  <si>
    <t>&gt; Select Tuition Option</t>
  </si>
  <si>
    <t>International Student Tuition</t>
  </si>
  <si>
    <t>&gt; Select Term</t>
  </si>
  <si>
    <t>Please select 'Year Round Contract' as your Room Type</t>
  </si>
  <si>
    <t>&gt; Select Class Level</t>
  </si>
  <si>
    <t>Upperclass</t>
  </si>
  <si>
    <t xml:space="preserve"> </t>
  </si>
  <si>
    <t>&gt; Select Room Type</t>
  </si>
  <si>
    <t>Freshman Double Deluxe</t>
  </si>
  <si>
    <t>&gt; Select Meal Plan</t>
  </si>
  <si>
    <t>Estimated Tuition Fees Before Financial Aid</t>
  </si>
  <si>
    <t>Housing Fees Based on Room Type Selection</t>
  </si>
  <si>
    <t>Meal Fees Based on Meal Plan Selection</t>
  </si>
  <si>
    <t>&gt;Are you submitting a deposit deferral form</t>
  </si>
  <si>
    <t>No</t>
  </si>
  <si>
    <t>&gt;Are you accepting a student loan?</t>
  </si>
  <si>
    <t>Do you receive a VA Waiver?</t>
  </si>
  <si>
    <t>Are you a Peer Academic Leader (PAL) for Housing?  If Yes, select PAL or LLC PAL</t>
  </si>
  <si>
    <t>Deposit Deferral Amount</t>
  </si>
  <si>
    <t>Estimated loan fees</t>
  </si>
  <si>
    <t>VA Waiver Deduction</t>
  </si>
  <si>
    <t>PAL Salary Adjustment</t>
  </si>
  <si>
    <t>Total Estimate of Tuition, Housing and Meals before Financial Aid</t>
  </si>
  <si>
    <r>
      <t xml:space="preserve">&gt; Enter  Anticipated Financial Aid Distribution - </t>
    </r>
    <r>
      <rPr>
        <b/>
        <i/>
        <sz val="12"/>
        <color indexed="8"/>
        <rFont val="Calibri"/>
        <family val="2"/>
      </rPr>
      <t>include any anticipated grants, scholarships and ACCEPTED loans on your Financial Aid Award Letter</t>
    </r>
  </si>
  <si>
    <r>
      <t xml:space="preserve">*Do not include workstudy aid.  </t>
    </r>
    <r>
      <rPr>
        <b/>
        <sz val="12"/>
        <color indexed="10"/>
        <rFont val="Calibri"/>
        <family val="2"/>
      </rPr>
      <t>Only include grants and student and/or parent loans that you intend to accept.</t>
    </r>
  </si>
  <si>
    <t>Estimated Academic Year  Student Responsibility</t>
  </si>
  <si>
    <t>If this number is zero, no anticipated Housing payment is due</t>
  </si>
  <si>
    <t>&gt; Select Payment Plan</t>
  </si>
  <si>
    <t>2 Payments</t>
  </si>
  <si>
    <t>Tuition Fees must be paid in accordance with the deadlines listed here http://www.csustan.edu/TuitionCosts/FeePaymentDeadlines.html to avoid the cancellation of registered courses</t>
  </si>
  <si>
    <t xml:space="preserve">Outstanding Tuition Fees (if any) after Financial Aid has been applied </t>
  </si>
  <si>
    <t>Academic Year Housing Payment Schedule</t>
  </si>
  <si>
    <t>Year Round Housing Payment Schedule</t>
  </si>
  <si>
    <t>Housing Payment Schedule</t>
  </si>
  <si>
    <t>Amount Due</t>
  </si>
  <si>
    <t>Due Date</t>
  </si>
  <si>
    <t>Total Tuition (if any) and Housing Fees</t>
  </si>
  <si>
    <t>Note: Payments are due the first of the month and a $10 late fee will be assessed if not paid by the 10th of the month due.</t>
  </si>
  <si>
    <t xml:space="preserve">This calculator is intended to provide information on the cost of housing and is an estimate.  It should not be considered </t>
  </si>
  <si>
    <t>a final cost as it does not include account changes which may occur to financial aid, enrollment status or other associated university permits,</t>
  </si>
  <si>
    <t xml:space="preserve">orientation fees (e.g. lab fees), parking fees, etc. </t>
  </si>
  <si>
    <t>Select Room Type</t>
  </si>
  <si>
    <t>Meal Plan</t>
  </si>
  <si>
    <t>Select Intersession Term</t>
  </si>
  <si>
    <t>Select Payment Plan</t>
  </si>
  <si>
    <t>Freshman Triple Suite</t>
  </si>
  <si>
    <t>Yes</t>
  </si>
  <si>
    <t>1 Payment</t>
  </si>
  <si>
    <t>Freshman</t>
  </si>
  <si>
    <t>Year Round Contract B New Residents</t>
  </si>
  <si>
    <t>Freshman Single Suite</t>
  </si>
  <si>
    <t>Monthly Payments</t>
  </si>
  <si>
    <t xml:space="preserve"> Freshman Village I Year Round Contract</t>
  </si>
  <si>
    <t>Freshman Apartment Village I</t>
  </si>
  <si>
    <t>Upperclass Double Deluxe</t>
  </si>
  <si>
    <t>Upperclass Apartment Village III</t>
  </si>
  <si>
    <t>Year Round Contract</t>
  </si>
  <si>
    <t>Upperclass Apartment Village II</t>
  </si>
  <si>
    <t>Amount</t>
  </si>
  <si>
    <t>Freshman Double</t>
  </si>
  <si>
    <t xml:space="preserve">A double deluxe is a four bedroom apartment where 2 people per bedroom share 3 of the bedrooms and the 4th bedroom serves as a group study space.  All double deluxe units are apartments in the Village II complex and include a common bathroom, living room and kitchen.  </t>
  </si>
  <si>
    <t>A single room is a 4 bedroom suite where 4 roommates each have their own bedroom, but all 4 share a bathroom and living room.  The suite does not have a kitchen, but does come equipped with a mini-refrigerator and a microwave.</t>
  </si>
  <si>
    <t xml:space="preserve">A single room apartment is a 4 bedroom apartment where 4 roommates each have their own bedroom, but all 4 share a bathroom, kitchen and living room.  </t>
  </si>
  <si>
    <t>In-State Tuition</t>
  </si>
  <si>
    <t xml:space="preserve">Out-of-State Tuition </t>
  </si>
  <si>
    <t>Tuition Costs</t>
  </si>
  <si>
    <t>Year Round Contract A Current Residents</t>
  </si>
  <si>
    <t>Upperclass Single Suite (PAL Only)</t>
  </si>
  <si>
    <t>Upperclass Apartment Village I</t>
  </si>
  <si>
    <t>`</t>
  </si>
  <si>
    <t>Academic Year 2014-2015 Peer Academic Leader (PAL)Upperclass Single Suite (PAL Only)</t>
  </si>
  <si>
    <t>Academic Year 2014-2015 Peer Academic Leader (PAL)Upperclass Apartment Village I</t>
  </si>
  <si>
    <t>Academic Year 2014-2015 Peer Academic Leader (PAL)Upperclass Apartment Village II</t>
  </si>
  <si>
    <t>Academic Year 2014-2015 Peer Academic Leader (PAL)Upperclass Apartment Village III</t>
  </si>
  <si>
    <t>Academic Year 2014-2015Upperclass Apartment Village I</t>
  </si>
  <si>
    <t>LLC PAL</t>
  </si>
  <si>
    <t>PAL</t>
  </si>
  <si>
    <t>YR</t>
  </si>
  <si>
    <t>11</t>
  </si>
  <si>
    <t>14</t>
  </si>
  <si>
    <t>21</t>
  </si>
  <si>
    <t>24</t>
  </si>
  <si>
    <t>101</t>
  </si>
  <si>
    <t>104</t>
  </si>
  <si>
    <t>15</t>
  </si>
  <si>
    <t>25</t>
  </si>
  <si>
    <t>105</t>
  </si>
  <si>
    <t>Warrior Platinum</t>
  </si>
  <si>
    <t>Warrior Gold</t>
  </si>
  <si>
    <t>Warrior Silver</t>
  </si>
  <si>
    <t>Warrior Bronze</t>
  </si>
  <si>
    <t>Warrior Snack</t>
  </si>
  <si>
    <t>Payment in full due August 1, 2019</t>
  </si>
  <si>
    <t xml:space="preserve">Per payment.  1st payment due August 1, 2019, 2nd payment due January 1, 2020.  </t>
  </si>
  <si>
    <t>Intersession/Spring 2019Freshman Triple</t>
  </si>
  <si>
    <t>Intersession/Spring 2019Freshman Double</t>
  </si>
  <si>
    <t>Intersession/Spring 2019Freshman Single</t>
  </si>
  <si>
    <t>Intersession/Spring 2019Freshman Apartment Village I</t>
  </si>
  <si>
    <t>Intersession/Spring 2019Freshman Apartment Village II</t>
  </si>
  <si>
    <t>Intersession/Spring 2019Upperclass Apartment Village II</t>
  </si>
  <si>
    <t>Intersession/Spring 2019Upperclass Apartment Village III</t>
  </si>
  <si>
    <t>***</t>
  </si>
  <si>
    <t>Academic Year 2019-20</t>
  </si>
  <si>
    <t>Academic Year 2019-20Freshman Triple Suite</t>
  </si>
  <si>
    <t>Academic Year 2019-20Freshman Double Suite</t>
  </si>
  <si>
    <t>Academic Year 2019-20Freshman Single Suite</t>
  </si>
  <si>
    <t>Academic Year 2019-20Freshman Apartment Village I</t>
  </si>
  <si>
    <t>Academic Year 2019-20Upperclass Double Deluxe</t>
  </si>
  <si>
    <t>Academic Year 2019-20Upperclass Apartment Village II</t>
  </si>
  <si>
    <t>Academic Year 2019-20Upperclass Apartment Village III</t>
  </si>
  <si>
    <t>Monthly payment due from August 1 2019-April 1 2020.</t>
  </si>
  <si>
    <t>Academic Year 2019-2020 Peer Academic Leader (PAL)</t>
  </si>
  <si>
    <t>Academic Year 2019-2020Freshman double deluxe</t>
  </si>
  <si>
    <t>Academic Year 2019-2020Upperclass double deluxe</t>
  </si>
  <si>
    <t>Academic Year 2019-20Freshman Single</t>
  </si>
  <si>
    <t>Spring 2020Freshman Triple</t>
  </si>
  <si>
    <t>Spring 2020Freshman Double</t>
  </si>
  <si>
    <t>Spring 2020Freshman Single</t>
  </si>
  <si>
    <t>Spring 2020Freshman Apartment Village I</t>
  </si>
  <si>
    <t>Spring 2020Freshman Apartment Village II</t>
  </si>
  <si>
    <t>Spring 2020Upperclass Apartment Village II</t>
  </si>
  <si>
    <t>Spring 2020Upperclass Apartment Village III</t>
  </si>
  <si>
    <t>Intersession/Spring 20191Upperclass double deluxe</t>
  </si>
  <si>
    <t>Intersession/Spring 2019Freshman double deluxe</t>
  </si>
  <si>
    <t>Spring 2019Upperclass double deluxe</t>
  </si>
  <si>
    <t>Spring 2019Freshman double deluxe</t>
  </si>
  <si>
    <t>https://www.csustan.edu/office-international-education/international-students/fees-and-payments</t>
  </si>
  <si>
    <t>http://www.csustan.edu/financial-aid-scholarship/financial-aid-basics/cost-attendance</t>
  </si>
  <si>
    <t>Source link:</t>
  </si>
  <si>
    <t>** 2018/19</t>
  </si>
  <si>
    <t>Due July 18, 2019</t>
  </si>
  <si>
    <t>Due August 1, 2019</t>
  </si>
  <si>
    <t>Due September 1, 2019</t>
  </si>
  <si>
    <t>Due October 1, 2019</t>
  </si>
  <si>
    <t>Due November, 1, 2019</t>
  </si>
  <si>
    <t>Due December 1, 2019</t>
  </si>
  <si>
    <t>Due January 1, 2020</t>
  </si>
  <si>
    <t>Due February 1, 2020</t>
  </si>
  <si>
    <t>Due March 1, 2020</t>
  </si>
  <si>
    <t>Due April 1, 2020</t>
  </si>
  <si>
    <t>Due May 1, 2020</t>
  </si>
  <si>
    <t>Due May 1, 2019</t>
  </si>
  <si>
    <t>Due June 1, 2019</t>
  </si>
  <si>
    <t>Due July 1, 2019</t>
  </si>
  <si>
    <t xml:space="preserve">2019-2020 Housing Fees Calculator </t>
  </si>
  <si>
    <t>2 Payments (Is it a $10 Increase?)</t>
  </si>
  <si>
    <t>Due July 15, 2019</t>
  </si>
  <si>
    <t>Due May 1, 2019*</t>
  </si>
  <si>
    <t xml:space="preserve">"SELECT ROOM TYPE" </t>
  </si>
  <si>
    <t>"SELECT TERM"</t>
  </si>
  <si>
    <t>"SELECT CLASS LEVEL"</t>
  </si>
  <si>
    <t>"SELECT ROOM TYPE"</t>
  </si>
  <si>
    <t>"SELECT MEAL PLAN"</t>
  </si>
  <si>
    <t>Intersession/Spring 2020</t>
  </si>
  <si>
    <t>Spring 2020</t>
  </si>
  <si>
    <t>Year Round Contract Current residents</t>
  </si>
  <si>
    <t>Year Round Contract Current residentsYear Round Contract</t>
  </si>
  <si>
    <t>Year Round Contract New Residents Village I</t>
  </si>
  <si>
    <t>Year Round Contract New Residents Village II</t>
  </si>
  <si>
    <t>Year Round Contract New Residents Village IYear Round Contract</t>
  </si>
  <si>
    <t>Year Round Contract New Residents Village IIYear Round Contract</t>
  </si>
  <si>
    <t>A triple room is a 2 bedroom suite where 2 roommates share one room (double room) and 3 roommates share the other room (triple room). All 5 roommates share a bathroom and living room.  The suite does not have a kitchen, but does come equipped with a mini-refrigerator and microwave.</t>
  </si>
  <si>
    <t>A double room is a 2 bedroom suite where 2 roommates share one room (double room) and 3 roommates share the other room (triple room). All 5 roommates share a bathroom and living room.  The suite does not have a kitchen, but does come equipped with a mini-refrigerator and microwave.</t>
  </si>
  <si>
    <t>"SELECT PAYMENT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</si>
</sst>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mm/dd/yy;@"/>
  </numFmts>
  <fonts count="34" x14ac:knownFonts="1">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sz val="12"/>
      <color theme="1"/>
      <name val="Calibri"/>
      <family val="2"/>
      <scheme val="minor"/>
    </font>
    <font>
      <sz val="12"/>
      <name val="Calibri"/>
      <family val="2"/>
      <scheme val="minor"/>
    </font>
    <font>
      <b/>
      <sz val="12"/>
      <name val="Calibri"/>
      <family val="2"/>
      <scheme val="minor"/>
    </font>
    <font>
      <b/>
      <i/>
      <sz val="18"/>
      <color theme="1"/>
      <name val="Calibri"/>
      <family val="2"/>
      <scheme val="minor"/>
    </font>
    <font>
      <b/>
      <i/>
      <sz val="12"/>
      <name val="Calibri"/>
      <family val="2"/>
      <scheme val="minor"/>
    </font>
    <font>
      <b/>
      <sz val="10"/>
      <name val="Georgia"/>
      <family val="1"/>
    </font>
    <font>
      <b/>
      <sz val="12"/>
      <color theme="1"/>
      <name val="Calibri"/>
      <family val="2"/>
      <scheme val="minor"/>
    </font>
    <font>
      <b/>
      <sz val="12"/>
      <color theme="5" tint="-0.249977111117893"/>
      <name val="Calibri"/>
      <family val="2"/>
      <scheme val="minor"/>
    </font>
    <font>
      <b/>
      <i/>
      <sz val="12"/>
      <color theme="4" tint="-0.499984740745262"/>
      <name val="Calibri"/>
      <family val="2"/>
      <scheme val="minor"/>
    </font>
    <font>
      <b/>
      <sz val="12"/>
      <color rgb="FFFF0000"/>
      <name val="Calibri"/>
      <family val="2"/>
      <scheme val="minor"/>
    </font>
    <font>
      <b/>
      <sz val="11"/>
      <name val="Calibri"/>
      <family val="2"/>
    </font>
    <font>
      <b/>
      <sz val="14"/>
      <name val="Calibri"/>
      <family val="2"/>
    </font>
    <font>
      <b/>
      <sz val="14"/>
      <name val="Georgia"/>
      <family val="1"/>
    </font>
    <font>
      <b/>
      <sz val="12"/>
      <color rgb="FF3718EE"/>
      <name val="Calibri"/>
      <family val="2"/>
      <scheme val="minor"/>
    </font>
    <font>
      <b/>
      <i/>
      <sz val="12"/>
      <color indexed="8"/>
      <name val="Calibri"/>
      <family val="2"/>
    </font>
    <font>
      <b/>
      <sz val="12"/>
      <color indexed="10"/>
      <name val="Calibri"/>
      <family val="2"/>
    </font>
    <font>
      <b/>
      <i/>
      <sz val="12"/>
      <color theme="1"/>
      <name val="Calibri"/>
      <family val="2"/>
      <scheme val="minor"/>
    </font>
    <font>
      <b/>
      <i/>
      <sz val="12"/>
      <color theme="0"/>
      <name val="Calibri"/>
      <family val="2"/>
      <scheme val="minor"/>
    </font>
    <font>
      <i/>
      <sz val="11"/>
      <color theme="1"/>
      <name val="Calibri"/>
      <family val="2"/>
      <scheme val="minor"/>
    </font>
    <font>
      <b/>
      <sz val="9"/>
      <color indexed="81"/>
      <name val="Tahoma"/>
      <family val="2"/>
    </font>
    <font>
      <sz val="9"/>
      <color indexed="81"/>
      <name val="Tahoma"/>
      <family val="2"/>
    </font>
    <font>
      <sz val="11"/>
      <color rgb="FFFF0000"/>
      <name val="Calibri"/>
      <family val="2"/>
      <scheme val="minor"/>
    </font>
    <font>
      <b/>
      <sz val="11"/>
      <color rgb="FFFF0000"/>
      <name val="Calibri"/>
      <family val="2"/>
      <scheme val="minor"/>
    </font>
    <font>
      <b/>
      <sz val="11"/>
      <color rgb="FF00B050"/>
      <name val="Calibri"/>
      <family val="2"/>
      <scheme val="minor"/>
    </font>
    <font>
      <sz val="18"/>
      <color theme="3"/>
      <name val="Cambria"/>
      <family val="2"/>
      <scheme val="major"/>
    </font>
    <font>
      <b/>
      <sz val="11"/>
      <color theme="0"/>
      <name val="Calibri"/>
      <family val="2"/>
      <scheme val="minor"/>
    </font>
    <font>
      <sz val="11"/>
      <color theme="0"/>
      <name val="Calibri"/>
      <family val="2"/>
      <scheme val="minor"/>
    </font>
    <font>
      <u/>
      <sz val="11"/>
      <color theme="10"/>
      <name val="Calibri"/>
      <family val="2"/>
      <scheme val="minor"/>
    </font>
    <font>
      <sz val="11"/>
      <color rgb="FF00B050"/>
      <name val="Calibri"/>
      <family val="2"/>
      <scheme val="minor"/>
    </font>
    <font>
      <sz val="11"/>
      <color theme="0" tint="-0.499984740745262"/>
      <name val="Calibri"/>
      <family val="2"/>
      <scheme val="minor"/>
    </font>
  </fonts>
  <fills count="5">
    <fill>
      <patternFill patternType="none"/>
    </fill>
    <fill>
      <patternFill patternType="gray125"/>
    </fill>
    <fill>
      <patternFill patternType="solid">
        <fgColor rgb="FFFFEB9C"/>
      </patternFill>
    </fill>
    <fill>
      <patternFill patternType="solid">
        <fgColor theme="0" tint="-0.499984740745262"/>
        <bgColor indexed="64"/>
      </patternFill>
    </fill>
    <fill>
      <patternFill patternType="solid">
        <fgColor theme="7"/>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double">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cellStyleXfs>
  <cellXfs count="147">
    <xf numFmtId="0" fontId="0" fillId="0" borderId="0" xfId="0"/>
    <xf numFmtId="0" fontId="4" fillId="0" borderId="0" xfId="0" applyFont="1" applyProtection="1">
      <protection locked="0"/>
    </xf>
    <xf numFmtId="43" fontId="4" fillId="0" borderId="0" xfId="1" applyFont="1" applyProtection="1">
      <protection locked="0"/>
    </xf>
    <xf numFmtId="0" fontId="5" fillId="0" borderId="0" xfId="0" applyFont="1" applyAlignment="1" applyProtection="1">
      <alignment vertical="top" wrapText="1"/>
      <protection locked="0"/>
    </xf>
    <xf numFmtId="0" fontId="9" fillId="0" borderId="0" xfId="3" applyFont="1" applyFill="1" applyBorder="1" applyAlignment="1">
      <alignment horizontal="center" wrapText="1"/>
    </xf>
    <xf numFmtId="0" fontId="9" fillId="0" borderId="2" xfId="3" applyFont="1" applyFill="1" applyBorder="1" applyAlignment="1">
      <alignment horizontal="center" wrapText="1"/>
    </xf>
    <xf numFmtId="0" fontId="4" fillId="0" borderId="0" xfId="0" applyFont="1" applyFill="1" applyProtection="1">
      <protection locked="0"/>
    </xf>
    <xf numFmtId="0" fontId="9" fillId="0" borderId="0" xfId="3" applyFont="1" applyFill="1" applyBorder="1" applyAlignment="1">
      <alignment horizontal="left" wrapText="1"/>
    </xf>
    <xf numFmtId="0" fontId="9" fillId="0" borderId="4" xfId="3" applyFont="1" applyFill="1" applyBorder="1" applyAlignment="1">
      <alignment horizontal="center" wrapText="1"/>
    </xf>
    <xf numFmtId="0" fontId="10" fillId="0" borderId="0" xfId="0" applyFont="1" applyProtection="1">
      <protection locked="0"/>
    </xf>
    <xf numFmtId="0" fontId="4" fillId="0" borderId="4"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11" fillId="0" borderId="0" xfId="0" applyFont="1" applyProtection="1">
      <protection locked="0"/>
    </xf>
    <xf numFmtId="0" fontId="4" fillId="0" borderId="0" xfId="0" applyFont="1" applyAlignment="1" applyProtection="1">
      <alignment horizontal="center"/>
      <protection locked="0"/>
    </xf>
    <xf numFmtId="0" fontId="4" fillId="0" borderId="0" xfId="0" applyFont="1" applyBorder="1" applyAlignment="1" applyProtection="1">
      <alignment horizontal="center" wrapText="1"/>
      <protection locked="0"/>
    </xf>
    <xf numFmtId="0" fontId="4" fillId="0" borderId="4" xfId="0" applyFont="1" applyBorder="1" applyAlignment="1" applyProtection="1">
      <alignment horizontal="center" wrapText="1"/>
      <protection locked="0"/>
    </xf>
    <xf numFmtId="0" fontId="13" fillId="0" borderId="0" xfId="0" applyFont="1" applyAlignment="1" applyProtection="1">
      <alignment wrapText="1"/>
      <protection locked="0"/>
    </xf>
    <xf numFmtId="44" fontId="15" fillId="2" borderId="5" xfId="2" applyFont="1" applyFill="1" applyBorder="1" applyAlignment="1">
      <alignment horizontal="center" wrapText="1"/>
    </xf>
    <xf numFmtId="0" fontId="16" fillId="2" borderId="5" xfId="3" applyFont="1" applyBorder="1" applyAlignment="1">
      <alignment horizontal="center" wrapText="1"/>
    </xf>
    <xf numFmtId="0" fontId="15" fillId="0" borderId="5" xfId="3" applyFont="1" applyFill="1" applyBorder="1" applyAlignment="1">
      <alignment horizontal="center" wrapText="1"/>
    </xf>
    <xf numFmtId="44" fontId="9" fillId="0" borderId="5" xfId="2" applyFont="1" applyFill="1" applyBorder="1" applyAlignment="1">
      <alignment horizontal="center" wrapText="1"/>
    </xf>
    <xf numFmtId="0" fontId="16" fillId="0" borderId="5" xfId="3" applyFont="1" applyFill="1" applyBorder="1" applyAlignment="1">
      <alignment horizontal="center" wrapText="1"/>
    </xf>
    <xf numFmtId="0" fontId="10" fillId="0" borderId="0" xfId="0" applyFont="1" applyFill="1" applyProtection="1">
      <protection locked="0"/>
    </xf>
    <xf numFmtId="43" fontId="10" fillId="0" borderId="0" xfId="1" applyFont="1" applyProtection="1"/>
    <xf numFmtId="0" fontId="13" fillId="0" borderId="0" xfId="0" applyFont="1" applyProtection="1">
      <protection locked="0"/>
    </xf>
    <xf numFmtId="0" fontId="10" fillId="0" borderId="0" xfId="0" applyFont="1" applyAlignment="1" applyProtection="1">
      <protection locked="0"/>
    </xf>
    <xf numFmtId="0" fontId="10" fillId="0" borderId="6" xfId="0" applyFont="1" applyBorder="1" applyAlignment="1" applyProtection="1">
      <protection locked="0"/>
    </xf>
    <xf numFmtId="0" fontId="10" fillId="0" borderId="0" xfId="0" applyFont="1" applyAlignment="1" applyProtection="1">
      <alignment wrapText="1"/>
      <protection locked="0"/>
    </xf>
    <xf numFmtId="43" fontId="4" fillId="0" borderId="0" xfId="1" applyFont="1" applyProtection="1"/>
    <xf numFmtId="43" fontId="4" fillId="0" borderId="0" xfId="1" applyFont="1" applyFill="1" applyProtection="1"/>
    <xf numFmtId="43" fontId="17" fillId="0" borderId="0" xfId="1" applyFont="1" applyFill="1" applyAlignment="1" applyProtection="1">
      <alignment horizontal="left"/>
    </xf>
    <xf numFmtId="43" fontId="10" fillId="0" borderId="0" xfId="1" applyFont="1" applyFill="1" applyBorder="1" applyProtection="1"/>
    <xf numFmtId="44" fontId="15" fillId="0" borderId="5" xfId="2" applyFont="1" applyFill="1" applyBorder="1" applyAlignment="1">
      <alignment horizontal="center" wrapText="1"/>
    </xf>
    <xf numFmtId="43" fontId="4" fillId="0" borderId="0" xfId="1" applyFont="1" applyFill="1" applyProtection="1">
      <protection locked="0"/>
    </xf>
    <xf numFmtId="43" fontId="10" fillId="0" borderId="0" xfId="1" applyFont="1" applyFill="1" applyBorder="1" applyAlignment="1" applyProtection="1">
      <alignment horizontal="right"/>
    </xf>
    <xf numFmtId="43" fontId="4" fillId="0" borderId="0" xfId="0" applyNumberFormat="1" applyFont="1" applyProtection="1">
      <protection locked="0"/>
    </xf>
    <xf numFmtId="43" fontId="4" fillId="0" borderId="0" xfId="0" applyNumberFormat="1" applyFont="1" applyFill="1" applyProtection="1">
      <protection locked="0"/>
    </xf>
    <xf numFmtId="0" fontId="4" fillId="0" borderId="0" xfId="0" applyFont="1" applyFill="1" applyBorder="1" applyAlignment="1" applyProtection="1">
      <alignment horizontal="center"/>
      <protection locked="0"/>
    </xf>
    <xf numFmtId="0" fontId="4" fillId="0" borderId="0" xfId="0" applyFont="1" applyAlignment="1" applyProtection="1">
      <protection locked="0"/>
    </xf>
    <xf numFmtId="0" fontId="21" fillId="0" borderId="0" xfId="0" applyFont="1" applyAlignment="1" applyProtection="1">
      <alignment horizontal="center" wrapText="1"/>
      <protection locked="0"/>
    </xf>
    <xf numFmtId="44" fontId="15" fillId="2" borderId="9" xfId="2" applyFont="1" applyFill="1" applyBorder="1" applyAlignment="1">
      <alignment horizontal="center" wrapText="1"/>
    </xf>
    <xf numFmtId="44" fontId="15" fillId="2" borderId="8" xfId="2" applyFont="1" applyFill="1" applyBorder="1" applyAlignment="1">
      <alignment horizontal="center" wrapText="1"/>
    </xf>
    <xf numFmtId="44" fontId="15" fillId="2" borderId="12" xfId="2" applyFont="1" applyFill="1" applyBorder="1" applyAlignment="1">
      <alignment horizontal="center" wrapText="1"/>
    </xf>
    <xf numFmtId="44" fontId="15" fillId="2" borderId="11" xfId="2" applyFont="1" applyFill="1" applyBorder="1" applyAlignment="1">
      <alignment horizontal="center" wrapText="1"/>
    </xf>
    <xf numFmtId="0" fontId="4" fillId="0" borderId="0" xfId="0" applyFont="1" applyAlignment="1" applyProtection="1">
      <alignment horizontal="center" wrapText="1"/>
      <protection locked="0"/>
    </xf>
    <xf numFmtId="0" fontId="4" fillId="0" borderId="0" xfId="0" applyFont="1" applyAlignment="1" applyProtection="1">
      <alignment vertical="center"/>
      <protection locked="0"/>
    </xf>
    <xf numFmtId="43" fontId="4" fillId="0" borderId="14" xfId="1" applyFont="1" applyBorder="1" applyAlignment="1" applyProtection="1">
      <alignment horizontal="right"/>
    </xf>
    <xf numFmtId="0" fontId="4" fillId="0" borderId="15" xfId="0" applyFont="1" applyBorder="1" applyAlignment="1" applyProtection="1">
      <alignment horizontal="left" wrapText="1"/>
      <protection locked="0"/>
    </xf>
    <xf numFmtId="0" fontId="4" fillId="0" borderId="16" xfId="0" applyFont="1" applyBorder="1" applyAlignment="1" applyProtection="1">
      <alignment horizontal="left" wrapText="1"/>
      <protection locked="0"/>
    </xf>
    <xf numFmtId="43" fontId="10" fillId="0" borderId="17" xfId="1" applyFont="1" applyBorder="1" applyProtection="1"/>
    <xf numFmtId="0" fontId="10" fillId="0" borderId="0" xfId="0" applyFont="1" applyBorder="1" applyAlignment="1" applyProtection="1">
      <alignment horizontal="left" wrapText="1"/>
      <protection locked="0"/>
    </xf>
    <xf numFmtId="0" fontId="4" fillId="0" borderId="0" xfId="0" applyFont="1" applyBorder="1" applyProtection="1">
      <protection locked="0"/>
    </xf>
    <xf numFmtId="0" fontId="20" fillId="0" borderId="0" xfId="0" applyFont="1" applyBorder="1" applyProtection="1">
      <protection locked="0"/>
    </xf>
    <xf numFmtId="43" fontId="4" fillId="0" borderId="0" xfId="0" applyNumberFormat="1" applyFont="1" applyBorder="1" applyProtection="1">
      <protection locked="0"/>
    </xf>
    <xf numFmtId="0" fontId="4" fillId="0" borderId="18" xfId="0" applyFont="1" applyBorder="1" applyAlignment="1" applyProtection="1">
      <alignment horizontal="left" wrapText="1"/>
      <protection locked="0"/>
    </xf>
    <xf numFmtId="43" fontId="10" fillId="0" borderId="17" xfId="0" applyNumberFormat="1" applyFont="1" applyBorder="1" applyProtection="1"/>
    <xf numFmtId="43" fontId="10" fillId="0" borderId="19" xfId="0" applyNumberFormat="1" applyFont="1" applyBorder="1" applyProtection="1">
      <protection locked="0"/>
    </xf>
    <xf numFmtId="43" fontId="20" fillId="0" borderId="20" xfId="0" applyNumberFormat="1" applyFont="1" applyBorder="1" applyProtection="1"/>
    <xf numFmtId="0" fontId="4" fillId="0" borderId="7" xfId="0" applyFont="1" applyBorder="1" applyProtection="1">
      <protection locked="0"/>
    </xf>
    <xf numFmtId="0" fontId="20" fillId="0" borderId="21" xfId="0" applyFont="1" applyBorder="1" applyProtection="1">
      <protection locked="0"/>
    </xf>
    <xf numFmtId="0" fontId="4" fillId="0" borderId="21" xfId="0" applyFont="1" applyBorder="1" applyProtection="1">
      <protection locked="0"/>
    </xf>
    <xf numFmtId="0" fontId="4" fillId="0" borderId="8" xfId="0" applyFont="1" applyBorder="1" applyProtection="1">
      <protection locked="0"/>
    </xf>
    <xf numFmtId="14" fontId="4" fillId="0" borderId="0" xfId="0" applyNumberFormat="1" applyFont="1" applyProtection="1">
      <protection locked="0"/>
    </xf>
    <xf numFmtId="0" fontId="10" fillId="0" borderId="0" xfId="0" applyFont="1" applyAlignment="1" applyProtection="1">
      <alignment horizontal="left" wrapText="1"/>
      <protection locked="0"/>
    </xf>
    <xf numFmtId="0" fontId="5" fillId="0" borderId="0" xfId="0" applyFont="1" applyAlignment="1" applyProtection="1">
      <alignment horizontal="center" vertical="top" wrapText="1"/>
      <protection locked="0"/>
    </xf>
    <xf numFmtId="0" fontId="6" fillId="0" borderId="0" xfId="0" applyFont="1" applyAlignment="1" applyProtection="1">
      <alignment horizontal="center" vertical="top" wrapText="1"/>
      <protection locked="0"/>
    </xf>
    <xf numFmtId="0" fontId="7" fillId="0" borderId="0" xfId="0" applyFont="1" applyAlignment="1" applyProtection="1">
      <alignment horizontal="center"/>
      <protection locked="0"/>
    </xf>
    <xf numFmtId="0" fontId="8" fillId="0" borderId="0" xfId="0" applyFont="1" applyFill="1" applyAlignment="1" applyProtection="1">
      <alignment horizontal="center"/>
      <protection locked="0"/>
    </xf>
    <xf numFmtId="0" fontId="9" fillId="2" borderId="1" xfId="3" applyFont="1" applyBorder="1" applyAlignment="1">
      <alignment horizontal="center" wrapText="1"/>
    </xf>
    <xf numFmtId="0" fontId="9" fillId="2" borderId="2" xfId="3" applyFont="1" applyBorder="1" applyAlignment="1">
      <alignment horizontal="center" wrapText="1"/>
    </xf>
    <xf numFmtId="0" fontId="9" fillId="2" borderId="3" xfId="3" applyFont="1" applyBorder="1" applyAlignment="1">
      <alignment horizontal="center" wrapText="1"/>
    </xf>
    <xf numFmtId="0" fontId="4" fillId="0" borderId="1"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12" fillId="0" borderId="0" xfId="0" applyFont="1" applyFill="1" applyAlignment="1" applyProtection="1">
      <alignment horizontal="center" wrapText="1"/>
      <protection locked="0"/>
    </xf>
    <xf numFmtId="0" fontId="14" fillId="2" borderId="5" xfId="3" applyFont="1" applyBorder="1" applyAlignment="1">
      <alignment horizontal="left" wrapText="1"/>
    </xf>
    <xf numFmtId="0" fontId="10" fillId="0" borderId="6" xfId="0" applyFont="1" applyBorder="1" applyAlignment="1" applyProtection="1">
      <alignment horizontal="left" wrapText="1"/>
      <protection locked="0"/>
    </xf>
    <xf numFmtId="0" fontId="13" fillId="0" borderId="0" xfId="0" applyFont="1" applyAlignment="1" applyProtection="1">
      <alignment horizontal="left" vertical="center" wrapText="1"/>
      <protection locked="0"/>
    </xf>
    <xf numFmtId="0" fontId="20" fillId="0" borderId="0" xfId="0" applyFont="1" applyAlignment="1" applyProtection="1">
      <alignment horizontal="left" wrapText="1"/>
      <protection locked="0"/>
    </xf>
    <xf numFmtId="0" fontId="21" fillId="0" borderId="0" xfId="0" applyFont="1" applyAlignment="1" applyProtection="1">
      <alignment horizontal="center" wrapText="1"/>
      <protection locked="0"/>
    </xf>
    <xf numFmtId="44" fontId="15" fillId="2" borderId="7" xfId="2" applyFont="1" applyFill="1" applyBorder="1" applyAlignment="1">
      <alignment horizontal="center" wrapText="1"/>
    </xf>
    <xf numFmtId="44" fontId="15" fillId="2" borderId="8" xfId="2" applyFont="1" applyFill="1" applyBorder="1" applyAlignment="1">
      <alignment horizontal="center" wrapText="1"/>
    </xf>
    <xf numFmtId="44" fontId="15" fillId="2" borderId="10" xfId="2" applyFont="1" applyFill="1" applyBorder="1" applyAlignment="1">
      <alignment horizontal="center" wrapText="1"/>
    </xf>
    <xf numFmtId="44" fontId="15" fillId="2" borderId="11" xfId="2" applyFont="1" applyFill="1" applyBorder="1" applyAlignment="1">
      <alignment horizontal="center" wrapText="1"/>
    </xf>
    <xf numFmtId="44" fontId="14" fillId="2" borderId="9" xfId="2" applyFont="1" applyFill="1" applyBorder="1" applyAlignment="1">
      <alignment horizontal="center" wrapText="1"/>
    </xf>
    <xf numFmtId="44" fontId="14" fillId="2" borderId="12" xfId="2" applyFont="1" applyFill="1" applyBorder="1" applyAlignment="1">
      <alignment horizontal="center" wrapText="1"/>
    </xf>
    <xf numFmtId="0" fontId="20" fillId="0" borderId="22" xfId="0" applyFont="1" applyBorder="1" applyAlignment="1" applyProtection="1">
      <alignment horizontal="center" wrapText="1"/>
      <protection locked="0"/>
    </xf>
    <xf numFmtId="0" fontId="20" fillId="0" borderId="0" xfId="0" applyFont="1" applyBorder="1" applyAlignment="1" applyProtection="1">
      <alignment horizontal="center" wrapText="1"/>
      <protection locked="0"/>
    </xf>
    <xf numFmtId="0" fontId="20" fillId="0" borderId="6" xfId="0" applyFont="1" applyBorder="1" applyAlignment="1" applyProtection="1">
      <alignment horizontal="center" wrapText="1"/>
      <protection locked="0"/>
    </xf>
    <xf numFmtId="0" fontId="20" fillId="0" borderId="10" xfId="0" applyFont="1" applyBorder="1" applyAlignment="1" applyProtection="1">
      <alignment horizontal="center" wrapText="1"/>
      <protection locked="0"/>
    </xf>
    <xf numFmtId="0" fontId="20" fillId="0" borderId="23" xfId="0" applyFont="1" applyBorder="1" applyAlignment="1" applyProtection="1">
      <alignment horizontal="center" wrapText="1"/>
      <protection locked="0"/>
    </xf>
    <xf numFmtId="0" fontId="20" fillId="0" borderId="11" xfId="0" applyFont="1" applyBorder="1" applyAlignment="1" applyProtection="1">
      <alignment horizontal="center" wrapText="1"/>
      <protection locked="0"/>
    </xf>
    <xf numFmtId="44" fontId="15" fillId="2" borderId="9" xfId="2" applyFont="1" applyFill="1" applyBorder="1" applyAlignment="1">
      <alignment horizontal="center" wrapText="1"/>
    </xf>
    <xf numFmtId="44" fontId="15" fillId="2" borderId="13" xfId="2" applyFont="1" applyFill="1" applyBorder="1" applyAlignment="1">
      <alignment horizontal="center" wrapText="1"/>
    </xf>
    <xf numFmtId="44" fontId="15" fillId="2" borderId="6" xfId="2" applyFont="1" applyFill="1" applyBorder="1" applyAlignment="1">
      <alignment horizontal="center" wrapText="1"/>
    </xf>
    <xf numFmtId="0" fontId="20" fillId="0" borderId="1"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20" fillId="0" borderId="3" xfId="0" applyFont="1" applyBorder="1" applyAlignment="1" applyProtection="1">
      <alignment horizontal="center"/>
      <protection locked="0"/>
    </xf>
    <xf numFmtId="0" fontId="20" fillId="0" borderId="22"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20" fillId="0" borderId="6" xfId="0" applyFont="1" applyBorder="1" applyAlignment="1" applyProtection="1">
      <alignment horizontal="center"/>
      <protection locked="0"/>
    </xf>
    <xf numFmtId="43" fontId="20" fillId="0" borderId="0" xfId="0" applyNumberFormat="1" applyFont="1" applyBorder="1" applyProtection="1">
      <protection locked="0"/>
    </xf>
    <xf numFmtId="0" fontId="28" fillId="0" borderId="5" xfId="4" applyBorder="1" applyAlignment="1">
      <alignment vertical="center"/>
    </xf>
    <xf numFmtId="0" fontId="0" fillId="0" borderId="5" xfId="0" applyBorder="1" applyAlignment="1">
      <alignment vertical="center"/>
    </xf>
    <xf numFmtId="0" fontId="0" fillId="0" borderId="0" xfId="0" applyAlignment="1">
      <alignment vertical="center"/>
    </xf>
    <xf numFmtId="0" fontId="30" fillId="4" borderId="5" xfId="0" applyFont="1" applyFill="1" applyBorder="1" applyAlignment="1">
      <alignment vertical="center"/>
    </xf>
    <xf numFmtId="0" fontId="27" fillId="0" borderId="5" xfId="0" applyFont="1" applyBorder="1" applyAlignment="1">
      <alignment vertical="center"/>
    </xf>
    <xf numFmtId="44" fontId="30" fillId="4" borderId="5" xfId="2" applyFont="1" applyFill="1" applyBorder="1" applyAlignment="1">
      <alignment vertical="center"/>
    </xf>
    <xf numFmtId="0" fontId="0" fillId="0" borderId="5" xfId="0" applyBorder="1" applyAlignment="1">
      <alignment vertical="center" wrapText="1"/>
    </xf>
    <xf numFmtId="44" fontId="1" fillId="0" borderId="5" xfId="2" applyFont="1" applyBorder="1" applyAlignment="1">
      <alignment vertical="center"/>
    </xf>
    <xf numFmtId="44" fontId="1" fillId="0" borderId="0" xfId="2" applyFont="1" applyAlignment="1">
      <alignment vertical="center"/>
    </xf>
    <xf numFmtId="0" fontId="28" fillId="0" borderId="0" xfId="4" applyAlignment="1">
      <alignment vertical="center"/>
    </xf>
    <xf numFmtId="0" fontId="33" fillId="0" borderId="0" xfId="0" applyFont="1" applyAlignment="1">
      <alignment vertical="center"/>
    </xf>
    <xf numFmtId="44" fontId="33" fillId="0" borderId="0" xfId="2" applyFont="1" applyAlignment="1">
      <alignment vertical="center"/>
    </xf>
    <xf numFmtId="0" fontId="25" fillId="0" borderId="0" xfId="0" applyFont="1" applyAlignment="1">
      <alignment horizontal="right" vertical="center"/>
    </xf>
    <xf numFmtId="0" fontId="32" fillId="0" borderId="5" xfId="0" applyFont="1" applyBorder="1" applyAlignment="1">
      <alignment horizontal="right" vertical="center"/>
    </xf>
    <xf numFmtId="0" fontId="25" fillId="0" borderId="0" xfId="0" applyFont="1" applyAlignment="1">
      <alignment vertical="center"/>
    </xf>
    <xf numFmtId="0" fontId="3" fillId="0" borderId="5" xfId="0" applyFont="1" applyBorder="1" applyAlignment="1">
      <alignment vertical="center"/>
    </xf>
    <xf numFmtId="0" fontId="3" fillId="0" borderId="0" xfId="0" applyFont="1" applyAlignment="1">
      <alignment vertical="center"/>
    </xf>
    <xf numFmtId="0" fontId="29" fillId="4" borderId="5" xfId="0" applyFont="1" applyFill="1" applyBorder="1" applyAlignment="1">
      <alignment vertical="center"/>
    </xf>
    <xf numFmtId="0" fontId="0" fillId="0" borderId="0" xfId="0" applyFill="1" applyAlignment="1">
      <alignment vertical="center"/>
    </xf>
    <xf numFmtId="0" fontId="0" fillId="0" borderId="0" xfId="0" applyFill="1" applyAlignment="1">
      <alignment horizontal="left" vertical="center"/>
    </xf>
    <xf numFmtId="1" fontId="30" fillId="4" borderId="5" xfId="0" applyNumberFormat="1" applyFont="1" applyFill="1" applyBorder="1" applyAlignment="1">
      <alignment vertical="center"/>
    </xf>
    <xf numFmtId="0" fontId="25" fillId="0" borderId="5" xfId="0" applyFont="1" applyBorder="1" applyAlignment="1">
      <alignment vertical="center"/>
    </xf>
    <xf numFmtId="44" fontId="33" fillId="0" borderId="0" xfId="0" applyNumberFormat="1" applyFont="1" applyAlignment="1">
      <alignment vertical="center"/>
    </xf>
    <xf numFmtId="0" fontId="22" fillId="3" borderId="0" xfId="0" applyFont="1" applyFill="1" applyAlignment="1">
      <alignment vertical="center"/>
    </xf>
    <xf numFmtId="0" fontId="0" fillId="0" borderId="0" xfId="0" applyAlignment="1">
      <alignment horizontal="left" vertical="center"/>
    </xf>
    <xf numFmtId="14" fontId="0" fillId="0" borderId="0" xfId="0" applyNumberFormat="1" applyAlignment="1">
      <alignment horizontal="left" vertical="center"/>
    </xf>
    <xf numFmtId="14" fontId="0" fillId="0" borderId="0" xfId="0" applyNumberFormat="1" applyAlignment="1">
      <alignment vertical="center"/>
    </xf>
    <xf numFmtId="164" fontId="0" fillId="0" borderId="0" xfId="0" applyNumberFormat="1" applyAlignment="1">
      <alignment horizontal="left" vertical="center"/>
    </xf>
    <xf numFmtId="43" fontId="1" fillId="0" borderId="0" xfId="1" applyFont="1" applyAlignment="1">
      <alignment vertical="center"/>
    </xf>
    <xf numFmtId="0" fontId="0" fillId="0" borderId="0" xfId="0" quotePrefix="1" applyAlignment="1">
      <alignment vertical="center"/>
    </xf>
    <xf numFmtId="43" fontId="1" fillId="0" borderId="0" xfId="1" applyNumberFormat="1" applyFont="1" applyAlignment="1">
      <alignment vertical="center"/>
    </xf>
    <xf numFmtId="43" fontId="0" fillId="0" borderId="0" xfId="0" applyNumberFormat="1" applyAlignment="1">
      <alignment vertical="center"/>
    </xf>
    <xf numFmtId="2" fontId="0" fillId="0" borderId="0" xfId="0" applyNumberFormat="1" applyAlignment="1">
      <alignment vertical="center"/>
    </xf>
    <xf numFmtId="43" fontId="1" fillId="0" borderId="0" xfId="1" quotePrefix="1" applyFont="1" applyAlignment="1">
      <alignment vertical="center"/>
    </xf>
    <xf numFmtId="0" fontId="33" fillId="0" borderId="0" xfId="0" quotePrefix="1" applyFont="1" applyAlignment="1">
      <alignment vertical="center"/>
    </xf>
    <xf numFmtId="43" fontId="33" fillId="0" borderId="0" xfId="0" applyNumberFormat="1" applyFont="1" applyAlignment="1">
      <alignment vertical="center"/>
    </xf>
    <xf numFmtId="0" fontId="0" fillId="0" borderId="5" xfId="0" applyNumberFormat="1" applyBorder="1" applyAlignment="1">
      <alignment vertical="center" wrapText="1"/>
    </xf>
    <xf numFmtId="0" fontId="31" fillId="0" borderId="5" xfId="5" applyBorder="1" applyAlignment="1">
      <alignment vertical="center" wrapText="1"/>
    </xf>
    <xf numFmtId="0" fontId="27" fillId="0" borderId="5" xfId="0" applyFont="1" applyBorder="1" applyAlignment="1">
      <alignment vertical="center" wrapText="1"/>
    </xf>
    <xf numFmtId="0" fontId="0" fillId="0" borderId="5" xfId="0" quotePrefix="1" applyBorder="1" applyAlignment="1">
      <alignment vertical="center"/>
    </xf>
    <xf numFmtId="43" fontId="30" fillId="4" borderId="5" xfId="0" applyNumberFormat="1" applyFont="1" applyFill="1" applyBorder="1" applyAlignment="1">
      <alignment vertical="center"/>
    </xf>
    <xf numFmtId="0" fontId="26" fillId="0" borderId="5" xfId="0" applyFont="1" applyBorder="1" applyAlignment="1">
      <alignment vertical="center" wrapText="1"/>
    </xf>
    <xf numFmtId="43" fontId="0" fillId="0" borderId="5" xfId="0" applyNumberFormat="1" applyBorder="1" applyAlignment="1">
      <alignment vertical="center"/>
    </xf>
    <xf numFmtId="0" fontId="27" fillId="0" borderId="5" xfId="0" quotePrefix="1" applyFont="1" applyBorder="1" applyAlignment="1">
      <alignment vertical="center"/>
    </xf>
    <xf numFmtId="2" fontId="0" fillId="0" borderId="5" xfId="0" applyNumberFormat="1" applyBorder="1" applyAlignment="1">
      <alignment vertical="center"/>
    </xf>
    <xf numFmtId="44" fontId="0" fillId="0" borderId="5" xfId="0" applyNumberFormat="1" applyBorder="1" applyAlignment="1">
      <alignment vertical="center"/>
    </xf>
  </cellXfs>
  <cellStyles count="6">
    <cellStyle name="Comma" xfId="1" builtinId="3"/>
    <cellStyle name="Currency" xfId="2" builtinId="4"/>
    <cellStyle name="Hyperlink" xfId="5" builtinId="8"/>
    <cellStyle name="Neutral" xfId="3" builtinId="28"/>
    <cellStyle name="Normal" xfId="0" builtinId="0"/>
    <cellStyle name="Title" xfId="4" builtinId="15"/>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472440</xdr:colOff>
      <xdr:row>0</xdr:row>
      <xdr:rowOff>0</xdr:rowOff>
    </xdr:from>
    <xdr:to>
      <xdr:col>2</xdr:col>
      <xdr:colOff>3947160</xdr:colOff>
      <xdr:row>7</xdr:row>
      <xdr:rowOff>38100</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0" y="0"/>
          <a:ext cx="3314700" cy="1455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180975</xdr:colOff>
      <xdr:row>9</xdr:row>
      <xdr:rowOff>104775</xdr:rowOff>
    </xdr:from>
    <xdr:to>
      <xdr:col>7</xdr:col>
      <xdr:colOff>276225</xdr:colOff>
      <xdr:row>20</xdr:row>
      <xdr:rowOff>219074</xdr:rowOff>
    </xdr:to>
    <xdr:sp macro="" textlink="">
      <xdr:nvSpPr>
        <xdr:cNvPr id="2" name="Rectangle 1"/>
        <xdr:cNvSpPr/>
      </xdr:nvSpPr>
      <xdr:spPr>
        <a:xfrm>
          <a:off x="9591675" y="3057525"/>
          <a:ext cx="4772025" cy="5162549"/>
        </a:xfrm>
        <a:prstGeom prst="rect">
          <a:avLst/>
        </a:prstGeom>
        <a:solidFill>
          <a:srgbClr val="0070C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lang="en-US" sz="1600" b="1" u="sng">
              <a:latin typeface="Times New Roman" panose="02020603050405020304" pitchFamily="18" charset="0"/>
              <a:cs typeface="Times New Roman" panose="02020603050405020304" pitchFamily="18" charset="0"/>
            </a:rPr>
            <a:t>When Updating the Financial Planning</a:t>
          </a:r>
          <a:r>
            <a:rPr lang="en-US" sz="1600" b="1" u="sng" baseline="0">
              <a:latin typeface="Times New Roman" panose="02020603050405020304" pitchFamily="18" charset="0"/>
              <a:cs typeface="Times New Roman" panose="02020603050405020304" pitchFamily="18" charset="0"/>
            </a:rPr>
            <a:t> Calculator:</a:t>
          </a:r>
        </a:p>
        <a:p>
          <a:pPr algn="l"/>
          <a:endParaRPr lang="en-US" sz="1100" baseline="0">
            <a:latin typeface="Times New Roman" panose="02020603050405020304" pitchFamily="18" charset="0"/>
            <a:cs typeface="Times New Roman" panose="02020603050405020304" pitchFamily="18" charset="0"/>
          </a:endParaRPr>
        </a:p>
        <a:p>
          <a:pPr algn="l"/>
          <a:r>
            <a:rPr lang="en-US" sz="1100" b="1" baseline="0">
              <a:latin typeface="Times New Roman" panose="02020603050405020304" pitchFamily="18" charset="0"/>
              <a:cs typeface="Times New Roman" panose="02020603050405020304" pitchFamily="18" charset="0"/>
            </a:rPr>
            <a:t>Step 1-  </a:t>
          </a:r>
          <a:r>
            <a:rPr lang="en-US" sz="1100" baseline="0">
              <a:latin typeface="Times New Roman" panose="02020603050405020304" pitchFamily="18" charset="0"/>
              <a:cs typeface="Times New Roman" panose="02020603050405020304" pitchFamily="18" charset="0"/>
            </a:rPr>
            <a:t>In the Housing and Financial Planning Tab Update the academic year in the title and rename the spreadsheet to the current year.</a:t>
          </a:r>
        </a:p>
        <a:p>
          <a:pPr algn="l"/>
          <a:r>
            <a:rPr lang="en-US" sz="1100" b="1" baseline="0">
              <a:latin typeface="Times New Roman" panose="02020603050405020304" pitchFamily="18" charset="0"/>
              <a:cs typeface="Times New Roman" panose="02020603050405020304" pitchFamily="18" charset="0"/>
            </a:rPr>
            <a:t>Step 2</a:t>
          </a:r>
          <a:r>
            <a:rPr lang="en-US" sz="1100" baseline="0">
              <a:latin typeface="Times New Roman" panose="02020603050405020304" pitchFamily="18" charset="0"/>
              <a:cs typeface="Times New Roman" panose="02020603050405020304" pitchFamily="18" charset="0"/>
            </a:rPr>
            <a:t>-  Have on hand:</a:t>
          </a:r>
        </a:p>
        <a:p>
          <a:pPr lvl="2" algn="l"/>
          <a:r>
            <a:rPr lang="en-US" sz="1100" baseline="0">
              <a:latin typeface="Times New Roman" panose="02020603050405020304" pitchFamily="18" charset="0"/>
              <a:cs typeface="Times New Roman" panose="02020603050405020304" pitchFamily="18" charset="0"/>
            </a:rPr>
            <a:t>a) Tuition Rates (In-State, Out-of-State, and International) 2) Housing Costs (Upperclass + Freshman + Academic Year + Year Round) c) Meal Plan Rates.</a:t>
          </a:r>
        </a:p>
        <a:p>
          <a:pPr lvl="0" algn="l"/>
          <a:r>
            <a:rPr lang="en-US" sz="1100" b="1" baseline="0">
              <a:latin typeface="Times New Roman" panose="02020603050405020304" pitchFamily="18" charset="0"/>
              <a:cs typeface="Times New Roman" panose="02020603050405020304" pitchFamily="18" charset="0"/>
            </a:rPr>
            <a:t>Step 3- </a:t>
          </a:r>
          <a:r>
            <a:rPr lang="en-US" sz="1100" baseline="0">
              <a:latin typeface="Times New Roman" panose="02020603050405020304" pitchFamily="18" charset="0"/>
              <a:cs typeface="Times New Roman" panose="02020603050405020304" pitchFamily="18" charset="0"/>
            </a:rPr>
            <a:t>Select the entire sheet and then press Ctrl+H to replace all cells that have a year number. Ex: Replace 2019 by 2020.  OR/  Replace 2019-20 by 2020-21. </a:t>
          </a:r>
          <a:r>
            <a:rPr lang="en-US" sz="1100" i="1" baseline="0">
              <a:latin typeface="Times New Roman" panose="02020603050405020304" pitchFamily="18" charset="0"/>
              <a:cs typeface="Times New Roman" panose="02020603050405020304" pitchFamily="18" charset="0"/>
            </a:rPr>
            <a:t>Check all cases that this situation applies. Pay attention to cells that say "19" rather than "2019" and vice versa. It has to remain the same for the formulas to work. </a:t>
          </a:r>
        </a:p>
        <a:p>
          <a:pPr lvl="0" algn="l"/>
          <a:r>
            <a:rPr lang="en-US" sz="1100" b="1" baseline="0">
              <a:latin typeface="Times New Roman" panose="02020603050405020304" pitchFamily="18" charset="0"/>
              <a:cs typeface="Times New Roman" panose="02020603050405020304" pitchFamily="18" charset="0"/>
            </a:rPr>
            <a:t>Step 4</a:t>
          </a:r>
          <a:r>
            <a:rPr lang="en-US" sz="1100" baseline="0">
              <a:latin typeface="Times New Roman" panose="02020603050405020304" pitchFamily="18" charset="0"/>
              <a:cs typeface="Times New Roman" panose="02020603050405020304" pitchFamily="18" charset="0"/>
            </a:rPr>
            <a:t>- In the Formulas tab Check all cells in </a:t>
          </a:r>
          <a:r>
            <a:rPr lang="en-US" sz="1100" b="1" u="sng" baseline="0">
              <a:latin typeface="Times New Roman" panose="02020603050405020304" pitchFamily="18" charset="0"/>
              <a:cs typeface="Times New Roman" panose="02020603050405020304" pitchFamily="18" charset="0"/>
            </a:rPr>
            <a:t>PURPLE </a:t>
          </a:r>
          <a:r>
            <a:rPr lang="en-US" sz="1100" b="0" u="none" baseline="0">
              <a:latin typeface="Times New Roman" panose="02020603050405020304" pitchFamily="18" charset="0"/>
              <a:cs typeface="Times New Roman" panose="02020603050405020304" pitchFamily="18" charset="0"/>
            </a:rPr>
            <a:t>and update their values.</a:t>
          </a:r>
        </a:p>
        <a:p>
          <a:pPr lvl="0" algn="l"/>
          <a:r>
            <a:rPr lang="en-US" sz="1100" b="1" u="none" baseline="0">
              <a:latin typeface="Times New Roman" panose="02020603050405020304" pitchFamily="18" charset="0"/>
              <a:cs typeface="Times New Roman" panose="02020603050405020304" pitchFamily="18" charset="0"/>
            </a:rPr>
            <a:t>Step 5- </a:t>
          </a:r>
          <a:r>
            <a:rPr lang="en-US" sz="1100" b="0" u="none" baseline="0">
              <a:latin typeface="Times New Roman" panose="02020603050405020304" pitchFamily="18" charset="0"/>
              <a:cs typeface="Times New Roman" panose="02020603050405020304" pitchFamily="18" charset="0"/>
            </a:rPr>
            <a:t>In the Housing Financial Planning TAB Check the VLOOKUP formulas to make sure they are getting the correct information from the Formulas Tab.</a:t>
          </a:r>
        </a:p>
        <a:p>
          <a:pPr lvl="0" algn="l"/>
          <a:r>
            <a:rPr lang="en-US" sz="1100" b="1" u="none" baseline="0">
              <a:latin typeface="Times New Roman" panose="02020603050405020304" pitchFamily="18" charset="0"/>
              <a:cs typeface="Times New Roman" panose="02020603050405020304" pitchFamily="18" charset="0"/>
            </a:rPr>
            <a:t>Step 6- </a:t>
          </a:r>
          <a:r>
            <a:rPr lang="en-US" sz="1100" b="0" u="none" baseline="0">
              <a:latin typeface="Times New Roman" panose="02020603050405020304" pitchFamily="18" charset="0"/>
              <a:cs typeface="Times New Roman" panose="02020603050405020304" pitchFamily="18" charset="0"/>
            </a:rPr>
            <a:t>TEST all options in the Financial Planning Calculator. </a:t>
          </a:r>
        </a:p>
        <a:p>
          <a:pPr lvl="0" algn="l"/>
          <a:endParaRPr lang="en-US" sz="1100" b="0" u="none" baseline="0">
            <a:latin typeface="Times New Roman" panose="02020603050405020304" pitchFamily="18" charset="0"/>
            <a:cs typeface="Times New Roman" panose="02020603050405020304" pitchFamily="18" charset="0"/>
          </a:endParaRPr>
        </a:p>
        <a:p>
          <a:pPr lvl="0" algn="l"/>
          <a:endParaRPr lang="en-US" sz="1100" b="0" u="none" baseline="0">
            <a:latin typeface="Times New Roman" panose="02020603050405020304" pitchFamily="18" charset="0"/>
            <a:cs typeface="Times New Roman" panose="02020603050405020304" pitchFamily="18" charset="0"/>
          </a:endParaRPr>
        </a:p>
        <a:p>
          <a:pPr lvl="0" algn="l"/>
          <a:r>
            <a:rPr lang="en-US" sz="1100" b="1" u="sng" baseline="0">
              <a:latin typeface="Times New Roman" panose="02020603050405020304" pitchFamily="18" charset="0"/>
              <a:cs typeface="Times New Roman" panose="02020603050405020304" pitchFamily="18" charset="0"/>
            </a:rPr>
            <a:t>Important&gt;</a:t>
          </a:r>
        </a:p>
        <a:p>
          <a:pPr lvl="0" algn="l"/>
          <a:r>
            <a:rPr lang="en-US" sz="1100" b="0" u="none" baseline="0">
              <a:latin typeface="Times New Roman" panose="02020603050405020304" pitchFamily="18" charset="0"/>
              <a:cs typeface="Times New Roman" panose="02020603050405020304" pitchFamily="18" charset="0"/>
            </a:rPr>
            <a:t>DO NOT DELETE ROWS OR COLUMNS. (It will result in inaccurate costs in the Financial Planning Calculator!) </a:t>
          </a:r>
        </a:p>
        <a:p>
          <a:pPr lvl="0" algn="l"/>
          <a:r>
            <a:rPr lang="en-US" sz="1100" b="0" u="none" baseline="0">
              <a:latin typeface="Times New Roman" panose="02020603050405020304" pitchFamily="18" charset="0"/>
              <a:cs typeface="Times New Roman" panose="02020603050405020304" pitchFamily="18" charset="0"/>
            </a:rPr>
            <a:t>If data needs to be removed, simply clear the values in the cell. Do not delete the cell, rows, or columns.</a:t>
          </a:r>
        </a:p>
        <a:p>
          <a:pPr lvl="0" algn="l"/>
          <a:endParaRPr lang="en-US" sz="1100" b="1" u="sng" baseline="0">
            <a:latin typeface="Times New Roman" panose="02020603050405020304" pitchFamily="18" charset="0"/>
            <a:cs typeface="Times New Roman" panose="02020603050405020304" pitchFamily="18" charset="0"/>
          </a:endParaRPr>
        </a:p>
        <a:p>
          <a:pPr lvl="0" algn="l"/>
          <a:r>
            <a:rPr lang="en-US" sz="1100" b="1" u="sng" baseline="0">
              <a:latin typeface="Times New Roman" panose="02020603050405020304" pitchFamily="18" charset="0"/>
              <a:cs typeface="Times New Roman" panose="02020603050405020304" pitchFamily="18" charset="0"/>
            </a:rPr>
            <a:t>codes:</a:t>
          </a:r>
        </a:p>
        <a:p>
          <a:pPr lvl="0" algn="l"/>
          <a:r>
            <a:rPr lang="en-US" sz="1100" b="0" u="none" baseline="0">
              <a:latin typeface="Times New Roman" panose="02020603050405020304" pitchFamily="18" charset="0"/>
              <a:cs typeface="Times New Roman" panose="02020603050405020304" pitchFamily="18" charset="0"/>
            </a:rPr>
            <a:t>"101" represents monthly payments</a:t>
          </a:r>
        </a:p>
        <a:p>
          <a:pPr lvl="0" algn="l"/>
          <a:r>
            <a:rPr lang="en-US" sz="1100" b="0" u="none" baseline="0">
              <a:latin typeface="Times New Roman" panose="02020603050405020304" pitchFamily="18" charset="0"/>
              <a:cs typeface="Times New Roman" panose="02020603050405020304" pitchFamily="18" charset="0"/>
            </a:rPr>
            <a:t>"11" represents 1 payment</a:t>
          </a:r>
        </a:p>
        <a:p>
          <a:pPr lvl="0" algn="l"/>
          <a:r>
            <a:rPr lang="en-US" sz="1100" b="0" u="none" baseline="0">
              <a:latin typeface="Times New Roman" panose="02020603050405020304" pitchFamily="18" charset="0"/>
              <a:cs typeface="Times New Roman" panose="02020603050405020304" pitchFamily="18" charset="0"/>
            </a:rPr>
            <a:t>"21" represents 2 payments</a:t>
          </a:r>
        </a:p>
        <a:p>
          <a:pPr lvl="0" algn="l"/>
          <a:r>
            <a:rPr lang="en-US" sz="1100" b="0" u="none" baseline="0">
              <a:latin typeface="Times New Roman" panose="02020603050405020304" pitchFamily="18" charset="0"/>
              <a:cs typeface="Times New Roman" panose="02020603050405020304" pitchFamily="18" charset="0"/>
            </a:rPr>
            <a:t> </a:t>
          </a:r>
        </a:p>
        <a:p>
          <a:pPr lvl="8" algn="l"/>
          <a:r>
            <a:rPr lang="en-US" sz="1100" b="0" u="none" baseline="0">
              <a:latin typeface="Times New Roman" panose="02020603050405020304" pitchFamily="18" charset="0"/>
              <a:cs typeface="Times New Roman" panose="02020603050405020304" pitchFamily="18" charset="0"/>
            </a:rPr>
            <a:t>- Juliana </a:t>
          </a:r>
        </a:p>
        <a:p>
          <a:pPr lvl="0" algn="l"/>
          <a:endParaRPr lang="en-US" sz="1100" b="0" u="none" baseline="0">
            <a:latin typeface="Times New Roman" panose="02020603050405020304" pitchFamily="18" charset="0"/>
            <a:cs typeface="Times New Roman" panose="02020603050405020304" pitchFamily="18" charset="0"/>
          </a:endParaRPr>
        </a:p>
        <a:p>
          <a:pPr lvl="0" algn="l"/>
          <a:endParaRPr lang="en-US" sz="1100" b="0" u="none" baseline="0">
            <a:latin typeface="Times New Roman" panose="02020603050405020304" pitchFamily="18" charset="0"/>
            <a:cs typeface="Times New Roman" panose="02020603050405020304" pitchFamily="18" charset="0"/>
          </a:endParaRPr>
        </a:p>
        <a:p>
          <a:pPr lvl="0" algn="l"/>
          <a:endParaRPr lang="en-US" sz="1100" b="0" u="none" baseline="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20Share/Juliana/Juliana/2017-18_financial_planning_calcula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using Financial Planning "/>
      <sheetName val="Formulas"/>
      <sheetName val="Sheet1"/>
    </sheetNames>
    <sheetDataSet>
      <sheetData sheetId="0" refreshError="1">
        <row r="15">
          <cell r="C15" t="str">
            <v>Academic Year 2017-2018</v>
          </cell>
        </row>
        <row r="42">
          <cell r="C42">
            <v>25642.71</v>
          </cell>
        </row>
        <row r="46">
          <cell r="L46">
            <v>7830</v>
          </cell>
        </row>
      </sheetData>
      <sheetData sheetId="1" refreshError="1">
        <row r="2">
          <cell r="G2" t="str">
            <v>Freshman Meal Plan A - $1,817.69 Flex, 160 Blocks</v>
          </cell>
        </row>
        <row r="15">
          <cell r="T15" t="str">
            <v>Freshman Triple Suite</v>
          </cell>
          <cell r="U15" t="str">
            <v>A triple room is a 2 bedroom suite where 2 roommates share one room (double room) and 3 roommates share the other room (triple room). All 5 roommates share a bathroom and living room.  The suite does not have a ktichen, but does come equipped with a mini-refrigerator and microwave.</v>
          </cell>
        </row>
        <row r="16">
          <cell r="T16" t="str">
            <v>Freshman Double</v>
          </cell>
          <cell r="U16" t="str">
            <v>A double room is a 2 bedroom suite where 2 roommates share one room (double room) and 3 roommates share the other room (triple room). All 5 roommates share a bathroom and living room.  The suite does not have a ktichen, but does come equipped with a mini-refrigerator and microwave.</v>
          </cell>
        </row>
        <row r="17">
          <cell r="T17" t="str">
            <v>Freshman Double Deluxe</v>
          </cell>
          <cell r="U17" t="str">
            <v xml:space="preserve">A double deluxe is a four bedroom apartment where 2 people per bedroom share 3 of the bedrooms and the 4th bedroom serves as a group study space.  All double deluxe units are apartments in the Village II complex and include a common bathroom, living room and kitchen.  </v>
          </cell>
        </row>
        <row r="18">
          <cell r="T18" t="str">
            <v>Freshman Single Suite</v>
          </cell>
          <cell r="U18" t="str">
            <v>A single room is a 4 bedroom suite where 4 roommates each have their own bedroom, but all 4 share a bathroom and living room.  The suite does not have a kitchen, but does come equipped with a mini-refrigerator and a microwave.</v>
          </cell>
        </row>
        <row r="19">
          <cell r="J19" t="str">
            <v>Tuition Options</v>
          </cell>
          <cell r="T19" t="str">
            <v>Freshman Apartment Village I</v>
          </cell>
          <cell r="U19" t="str">
            <v xml:space="preserve">A single room apartment is a 4 bedroom apartment where 4 roommates each have their own bedroom, but all 4 share a bathroom, kitchen and living room.  </v>
          </cell>
        </row>
        <row r="20">
          <cell r="J20" t="str">
            <v>In-State Tuition</v>
          </cell>
          <cell r="K20">
            <v>6732</v>
          </cell>
          <cell r="T20" t="str">
            <v>Upperclass Double Deluxe</v>
          </cell>
          <cell r="U20" t="str">
            <v xml:space="preserve">A double deluxe is a four bedroom apartment where 2 people per bedroom share 3 of the bedrooms and the 4th bedroom serves as a group study space.  All double deluxe units are apartments in the Village II complex and include a common bathroom, living room and kitchen.  </v>
          </cell>
        </row>
        <row r="21">
          <cell r="J21" t="str">
            <v xml:space="preserve">Out-of-State Tuition </v>
          </cell>
          <cell r="K21">
            <v>15660</v>
          </cell>
          <cell r="T21" t="str">
            <v>Freshman Apartment Village II</v>
          </cell>
          <cell r="U21" t="str">
            <v xml:space="preserve">A single room apartment is a 4 bedroom apartment where 4 roommates each have their own bedroom, but all 4 share a bathroom, kitchen and living room.  </v>
          </cell>
        </row>
        <row r="22">
          <cell r="J22" t="str">
            <v>International Student Tuition</v>
          </cell>
          <cell r="K22">
            <v>15660</v>
          </cell>
          <cell r="T22" t="str">
            <v>Upperclass Apartment Village II</v>
          </cell>
          <cell r="U22" t="str">
            <v xml:space="preserve">A single room apartment is a 4 bedroom apartment where 4 roommates each have their own bedroom, but all 4 share a bathroom, kitchen and living room.  </v>
          </cell>
        </row>
        <row r="23">
          <cell r="J23" t="str">
            <v>Tuition Costs</v>
          </cell>
          <cell r="T23" t="str">
            <v>Upperclass Apartment Village III</v>
          </cell>
          <cell r="U23" t="str">
            <v xml:space="preserve">A single room apartment is a 4 bedroom apartment where 4 roommates each have their own bedroom, but all 4 share a bathroom, kitchen and living room.  </v>
          </cell>
        </row>
        <row r="24">
          <cell r="J24" t="str">
            <v>Academic Year 2017-2018</v>
          </cell>
          <cell r="K24">
            <v>6732</v>
          </cell>
          <cell r="T24" t="str">
            <v>Year Round Contract</v>
          </cell>
          <cell r="U24" t="str">
            <v xml:space="preserve">A single room apartment is a 4 bedroom apartment where 4 roommates each have their own bedroom, but all 4 share a bathroom, kitchen and living room.  </v>
          </cell>
        </row>
        <row r="25">
          <cell r="J25" t="str">
            <v>Year Round Contract A Current Residents</v>
          </cell>
          <cell r="K25">
            <v>6732</v>
          </cell>
          <cell r="T25" t="str">
            <v>Year Round Contract</v>
          </cell>
          <cell r="U25" t="str">
            <v xml:space="preserve">A single room apartment is a 4 bedroom apartment where 4 roommates each have their own bedroom, but all 4 share a bathroom, kitchen and living room.  </v>
          </cell>
        </row>
        <row r="26">
          <cell r="J26" t="str">
            <v>Year Round Contract B New Residents</v>
          </cell>
          <cell r="K26">
            <v>6732</v>
          </cell>
          <cell r="T26" t="str">
            <v>Upperclass Single Suite (PAL Only)</v>
          </cell>
          <cell r="U26" t="str">
            <v>A single room is a 4 bedroom suite where 4 roommates each have their own bedroom, but all 4 share a bathroom and living room.  The suite does not have a kitchen, but does come equipped with a mini-refrigerator and a microwave.</v>
          </cell>
        </row>
        <row r="27">
          <cell r="J27" t="str">
            <v>Academic Year 2017-2018 Peer Academic Leader (PAL)</v>
          </cell>
          <cell r="K27">
            <v>6732</v>
          </cell>
          <cell r="T27" t="str">
            <v>Upperclass Apartment Village I</v>
          </cell>
          <cell r="U27" t="str">
            <v xml:space="preserve">A single room apartment is a 4 bedroom apartment where 4 roommates each have their own bedroom, but all 4 share a bathroom, kitchen and living room.  </v>
          </cell>
        </row>
        <row r="28">
          <cell r="J28" t="str">
            <v xml:space="preserve"> Freshman Village I Year Round Contract</v>
          </cell>
          <cell r="K28">
            <v>6732</v>
          </cell>
        </row>
        <row r="70">
          <cell r="F70" t="str">
            <v>14</v>
          </cell>
          <cell r="G70">
            <v>17812.71</v>
          </cell>
        </row>
        <row r="71">
          <cell r="F71" t="str">
            <v>24</v>
          </cell>
          <cell r="G71">
            <v>8911.3549999999996</v>
          </cell>
        </row>
        <row r="72">
          <cell r="F72" t="str">
            <v>104</v>
          </cell>
          <cell r="G72">
            <v>1370.2084615384615</v>
          </cell>
        </row>
        <row r="75">
          <cell r="F75" t="str">
            <v>24</v>
          </cell>
          <cell r="G75">
            <v>8911.3549999999996</v>
          </cell>
        </row>
        <row r="76">
          <cell r="G76">
            <v>0</v>
          </cell>
        </row>
        <row r="77">
          <cell r="F77" t="str">
            <v>24</v>
          </cell>
          <cell r="G77">
            <v>0</v>
          </cell>
        </row>
        <row r="78">
          <cell r="F78" t="str">
            <v>104</v>
          </cell>
          <cell r="G78">
            <v>1370.2084615384615</v>
          </cell>
        </row>
        <row r="79">
          <cell r="F79" t="str">
            <v>14</v>
          </cell>
          <cell r="G79">
            <v>0</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sustan.edu/financial-aid-scholarship/financial-aid-basics/cost-attendance" TargetMode="External"/><Relationship Id="rId1" Type="http://schemas.openxmlformats.org/officeDocument/2006/relationships/hyperlink" Target="https://www.csustan.edu/office-international-education/international-students/fees-and-payment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1"/>
  <sheetViews>
    <sheetView showGridLines="0" tabSelected="1" showWhiteSpace="0" view="pageLayout" topLeftCell="A7" zoomScaleNormal="92" workbookViewId="0">
      <selection activeCell="C15" sqref="C15"/>
    </sheetView>
  </sheetViews>
  <sheetFormatPr defaultColWidth="9.140625" defaultRowHeight="15.75" x14ac:dyDescent="0.25"/>
  <cols>
    <col min="1" max="1" width="45.42578125" style="1" customWidth="1"/>
    <col min="2" max="2" width="19.85546875" style="1" customWidth="1"/>
    <col min="3" max="3" width="59.28515625" style="1" customWidth="1"/>
    <col min="4" max="4" width="11" style="1" customWidth="1"/>
    <col min="5" max="5" width="16.42578125" style="1" bestFit="1" customWidth="1"/>
    <col min="6" max="6" width="43" style="1" customWidth="1"/>
    <col min="7" max="9" width="9.140625" style="1"/>
    <col min="10" max="10" width="9.28515625" style="1" bestFit="1" customWidth="1"/>
    <col min="11" max="11" width="9.140625" style="1"/>
    <col min="12" max="12" width="13" style="1" bestFit="1" customWidth="1"/>
    <col min="13" max="14" width="9.140625" style="1"/>
    <col min="15" max="15" width="9.28515625" style="1" bestFit="1" customWidth="1"/>
    <col min="16" max="16" width="9.140625" style="1"/>
    <col min="17" max="18" width="9.28515625" style="1" bestFit="1" customWidth="1"/>
    <col min="19" max="16384" width="9.140625" style="1"/>
  </cols>
  <sheetData>
    <row r="1" spans="1:7" x14ac:dyDescent="0.25">
      <c r="G1" s="2"/>
    </row>
    <row r="2" spans="1:7" x14ac:dyDescent="0.25">
      <c r="G2" s="2"/>
    </row>
    <row r="3" spans="1:7" x14ac:dyDescent="0.25">
      <c r="G3" s="2"/>
    </row>
    <row r="4" spans="1:7" x14ac:dyDescent="0.25">
      <c r="G4" s="2"/>
    </row>
    <row r="5" spans="1:7" x14ac:dyDescent="0.25">
      <c r="G5" s="2"/>
    </row>
    <row r="6" spans="1:7" ht="18" customHeight="1" x14ac:dyDescent="0.25">
      <c r="A6" s="64"/>
      <c r="B6" s="64"/>
      <c r="C6" s="64"/>
      <c r="D6" s="64"/>
      <c r="E6" s="64"/>
      <c r="F6" s="64"/>
      <c r="G6" s="3"/>
    </row>
    <row r="7" spans="1:7" ht="15.75" customHeight="1" x14ac:dyDescent="0.25">
      <c r="A7" s="65"/>
      <c r="B7" s="65"/>
      <c r="C7" s="65"/>
      <c r="D7" s="65"/>
      <c r="E7" s="65"/>
      <c r="F7" s="65"/>
      <c r="G7" s="3"/>
    </row>
    <row r="8" spans="1:7" ht="23.25" x14ac:dyDescent="0.35">
      <c r="A8" s="66" t="s">
        <v>147</v>
      </c>
      <c r="B8" s="66"/>
      <c r="C8" s="66"/>
      <c r="D8" s="66"/>
      <c r="E8" s="66"/>
      <c r="F8" s="66"/>
    </row>
    <row r="9" spans="1:7" x14ac:dyDescent="0.25">
      <c r="A9" s="67" t="s">
        <v>0</v>
      </c>
      <c r="B9" s="67"/>
      <c r="C9" s="67"/>
      <c r="D9" s="67"/>
      <c r="E9" s="67"/>
      <c r="F9" s="67"/>
    </row>
    <row r="10" spans="1:7" ht="16.5" thickBot="1" x14ac:dyDescent="0.3">
      <c r="A10" s="67" t="s">
        <v>1</v>
      </c>
      <c r="B10" s="67"/>
      <c r="C10" s="67"/>
      <c r="D10" s="67"/>
      <c r="E10" s="67"/>
      <c r="F10" s="67"/>
    </row>
    <row r="11" spans="1:7" ht="17.25" customHeight="1" thickBot="1" x14ac:dyDescent="0.3">
      <c r="A11" s="68" t="s">
        <v>2</v>
      </c>
      <c r="B11" s="69"/>
      <c r="C11" s="69"/>
      <c r="D11" s="69"/>
      <c r="E11" s="69"/>
      <c r="F11" s="70"/>
    </row>
    <row r="12" spans="1:7" s="6" customFormat="1" ht="17.25" customHeight="1" thickBot="1" x14ac:dyDescent="0.3">
      <c r="A12" s="4"/>
      <c r="B12" s="4"/>
      <c r="C12" s="5"/>
      <c r="D12" s="4"/>
      <c r="E12" s="4"/>
      <c r="F12" s="4"/>
    </row>
    <row r="13" spans="1:7" s="6" customFormat="1" ht="17.25" customHeight="1" thickBot="1" x14ac:dyDescent="0.3">
      <c r="A13" s="7" t="s">
        <v>3</v>
      </c>
      <c r="B13" s="4"/>
      <c r="C13" s="8" t="s">
        <v>66</v>
      </c>
      <c r="D13" s="4"/>
      <c r="E13" s="4"/>
      <c r="F13" s="4"/>
    </row>
    <row r="14" spans="1:7" ht="16.5" thickBot="1" x14ac:dyDescent="0.3"/>
    <row r="15" spans="1:7" ht="16.5" thickBot="1" x14ac:dyDescent="0.3">
      <c r="A15" s="9" t="s">
        <v>5</v>
      </c>
      <c r="B15" s="9"/>
      <c r="C15" s="10" t="s">
        <v>105</v>
      </c>
      <c r="D15" s="11"/>
      <c r="E15" s="12" t="str">
        <f>IF(E17=4,F17,"")</f>
        <v/>
      </c>
    </row>
    <row r="16" spans="1:7" ht="16.5" thickBot="1" x14ac:dyDescent="0.3">
      <c r="A16" s="9"/>
      <c r="B16" s="9"/>
      <c r="C16" s="13"/>
      <c r="D16" s="13"/>
      <c r="E16" s="13"/>
    </row>
    <row r="17" spans="1:8" ht="32.25" hidden="1" thickBot="1" x14ac:dyDescent="0.3">
      <c r="A17" s="9"/>
      <c r="B17" s="9"/>
      <c r="C17" s="13"/>
      <c r="D17" s="13"/>
      <c r="E17" s="13">
        <f>VLOOKUP(C15,Formulas!J24:M28,4,M30)</f>
        <v>1</v>
      </c>
      <c r="F17" s="14" t="s">
        <v>6</v>
      </c>
    </row>
    <row r="18" spans="1:8" ht="16.5" thickBot="1" x14ac:dyDescent="0.3">
      <c r="A18" s="9" t="s">
        <v>7</v>
      </c>
      <c r="B18" s="9"/>
      <c r="C18" s="10" t="s">
        <v>51</v>
      </c>
      <c r="D18" s="11"/>
      <c r="E18" s="11"/>
      <c r="F18" s="13"/>
    </row>
    <row r="19" spans="1:8" ht="16.5" thickBot="1" x14ac:dyDescent="0.3">
      <c r="A19" s="9" t="s">
        <v>9</v>
      </c>
      <c r="B19" s="9"/>
      <c r="C19" s="13"/>
      <c r="D19" s="13"/>
      <c r="E19" s="13"/>
    </row>
    <row r="20" spans="1:8" ht="64.5" customHeight="1" thickBot="1" x14ac:dyDescent="0.3">
      <c r="A20" s="9" t="s">
        <v>10</v>
      </c>
      <c r="B20" s="9"/>
      <c r="C20" s="71" t="s">
        <v>48</v>
      </c>
      <c r="D20" s="72"/>
      <c r="E20" s="73" t="str">
        <f>VLOOKUP(C20,[1]Formulas!T15:U27,2,FALSE)</f>
        <v>A triple room is a 2 bedroom suite where 2 roommates share one room (double room) and 3 roommates share the other room (triple room). All 5 roommates share a bathroom and living room.  The suite does not have a ktichen, but does come equipped with a mini-refrigerator and microwave.</v>
      </c>
      <c r="F20" s="73"/>
      <c r="G20" s="73"/>
      <c r="H20" s="73"/>
    </row>
    <row r="21" spans="1:8" ht="16.5" thickBot="1" x14ac:dyDescent="0.3">
      <c r="A21" s="9"/>
      <c r="B21" s="9"/>
      <c r="C21" s="13"/>
      <c r="D21" s="13"/>
    </row>
    <row r="22" spans="1:8" ht="17.25" customHeight="1" thickBot="1" x14ac:dyDescent="0.3">
      <c r="A22" s="9" t="s">
        <v>12</v>
      </c>
      <c r="B22" s="9"/>
      <c r="C22" s="15" t="s">
        <v>93</v>
      </c>
      <c r="D22" s="11"/>
    </row>
    <row r="23" spans="1:8" ht="11.25" customHeight="1" x14ac:dyDescent="0.25">
      <c r="A23" s="9"/>
      <c r="B23" s="9"/>
    </row>
    <row r="24" spans="1:8" ht="14.25" customHeight="1" x14ac:dyDescent="0.25">
      <c r="A24" s="9"/>
      <c r="B24" s="9"/>
      <c r="C24" s="11"/>
      <c r="D24" s="11"/>
      <c r="E24" s="16"/>
    </row>
    <row r="25" spans="1:8" ht="27" customHeight="1" x14ac:dyDescent="0.3">
      <c r="A25" s="74" t="s">
        <v>13</v>
      </c>
      <c r="B25" s="74"/>
      <c r="C25" s="17">
        <f>VLOOKUP(C13,[1]Formulas!J14:K28,2,FALSE)</f>
        <v>6732</v>
      </c>
      <c r="D25" s="18"/>
      <c r="E25" s="18"/>
      <c r="F25" s="18"/>
      <c r="G25" s="18"/>
    </row>
    <row r="26" spans="1:8" ht="27" hidden="1" x14ac:dyDescent="0.3">
      <c r="A26" s="19"/>
      <c r="B26" s="19"/>
      <c r="C26" s="20" t="str">
        <f>CONCATENATE(C15,C20)</f>
        <v>Academic Year 2019-20Freshman Triple Suite</v>
      </c>
      <c r="D26" s="21"/>
      <c r="E26" s="21"/>
      <c r="F26" s="21"/>
      <c r="G26" s="21"/>
    </row>
    <row r="27" spans="1:8" ht="18" customHeight="1" x14ac:dyDescent="0.3">
      <c r="A27" s="74" t="s">
        <v>14</v>
      </c>
      <c r="B27" s="74"/>
      <c r="C27" s="17">
        <f>VLOOKUP(C26,Formulas!D17:E56,2,FALSE)</f>
        <v>4813</v>
      </c>
      <c r="D27" s="18"/>
      <c r="E27" s="18"/>
      <c r="F27" s="18"/>
      <c r="G27" s="18"/>
    </row>
    <row r="28" spans="1:8" ht="18" customHeight="1" x14ac:dyDescent="0.3">
      <c r="A28" s="74" t="s">
        <v>15</v>
      </c>
      <c r="B28" s="74"/>
      <c r="C28" s="17">
        <f>VLOOKUP(C22,Formulas!G2:H9,2,FALSE)</f>
        <v>2100</v>
      </c>
      <c r="D28" s="18"/>
      <c r="E28" s="18"/>
      <c r="F28" s="18"/>
      <c r="G28" s="18"/>
    </row>
    <row r="29" spans="1:8" ht="16.5" thickBot="1" x14ac:dyDescent="0.3">
      <c r="A29" s="22"/>
      <c r="B29" s="22"/>
      <c r="C29" s="23"/>
      <c r="D29" s="23"/>
      <c r="E29" s="24"/>
    </row>
    <row r="30" spans="1:8" ht="36" customHeight="1" thickBot="1" x14ac:dyDescent="0.3">
      <c r="A30" s="25" t="s">
        <v>16</v>
      </c>
      <c r="B30" s="26"/>
      <c r="C30" s="10" t="s">
        <v>17</v>
      </c>
      <c r="D30" s="23"/>
      <c r="E30" s="24"/>
    </row>
    <row r="31" spans="1:8" ht="16.5" thickBot="1" x14ac:dyDescent="0.3">
      <c r="A31" s="25" t="s">
        <v>18</v>
      </c>
      <c r="B31" s="27"/>
      <c r="C31" s="10" t="s">
        <v>17</v>
      </c>
      <c r="D31" s="23"/>
      <c r="E31" s="24"/>
    </row>
    <row r="32" spans="1:8" ht="16.5" thickBot="1" x14ac:dyDescent="0.3">
      <c r="A32" s="25" t="s">
        <v>19</v>
      </c>
      <c r="B32" s="27"/>
      <c r="C32" s="10" t="s">
        <v>17</v>
      </c>
      <c r="D32" s="23"/>
      <c r="E32" s="24"/>
    </row>
    <row r="33" spans="1:18" ht="32.25" thickBot="1" x14ac:dyDescent="0.3">
      <c r="A33" s="27" t="s">
        <v>20</v>
      </c>
      <c r="B33" s="27"/>
      <c r="C33" s="10" t="s">
        <v>17</v>
      </c>
      <c r="D33" s="23"/>
      <c r="E33" s="24"/>
    </row>
    <row r="34" spans="1:18" x14ac:dyDescent="0.25">
      <c r="A34" s="25" t="s">
        <v>21</v>
      </c>
      <c r="B34" s="27"/>
      <c r="C34" s="28">
        <f>IF(C30="yes",250,0)</f>
        <v>0</v>
      </c>
      <c r="D34" s="23"/>
      <c r="E34" s="24"/>
    </row>
    <row r="35" spans="1:18" x14ac:dyDescent="0.25">
      <c r="A35" s="25" t="s">
        <v>22</v>
      </c>
      <c r="B35" s="27"/>
      <c r="C35" s="28">
        <f>IF(C31="yes",100,0)</f>
        <v>0</v>
      </c>
      <c r="D35" s="29"/>
      <c r="E35" s="24"/>
    </row>
    <row r="36" spans="1:18" x14ac:dyDescent="0.25">
      <c r="A36" s="25" t="s">
        <v>23</v>
      </c>
      <c r="B36" s="27"/>
      <c r="C36" s="28">
        <f>IF(C32="Yes",-5472,0)</f>
        <v>0</v>
      </c>
      <c r="E36" s="30"/>
    </row>
    <row r="37" spans="1:18" x14ac:dyDescent="0.25">
      <c r="A37" s="25" t="s">
        <v>24</v>
      </c>
      <c r="B37" s="27"/>
      <c r="C37" s="28">
        <f>IF(C33="LLC PAL",-C25,(IF(C33="PAL",-4000,0)))</f>
        <v>0</v>
      </c>
      <c r="E37" s="30"/>
    </row>
    <row r="38" spans="1:18" ht="40.5" customHeight="1" x14ac:dyDescent="0.3">
      <c r="A38" s="63" t="s">
        <v>25</v>
      </c>
      <c r="B38" s="63"/>
      <c r="C38" s="17">
        <f>SUM(C25:C37)</f>
        <v>13645</v>
      </c>
      <c r="D38" s="31"/>
      <c r="E38" s="24"/>
    </row>
    <row r="39" spans="1:18" ht="14.25" customHeight="1" x14ac:dyDescent="0.25">
      <c r="A39" s="25"/>
      <c r="B39" s="9"/>
      <c r="D39" s="6"/>
    </row>
    <row r="40" spans="1:18" ht="62.25" customHeight="1" x14ac:dyDescent="0.3">
      <c r="A40" s="63" t="s">
        <v>26</v>
      </c>
      <c r="B40" s="75"/>
      <c r="C40" s="32"/>
      <c r="D40" s="33"/>
      <c r="E40" s="76" t="s">
        <v>27</v>
      </c>
      <c r="F40" s="76"/>
      <c r="G40" s="76"/>
      <c r="H40" s="76"/>
    </row>
    <row r="41" spans="1:18" ht="24" hidden="1" customHeight="1" x14ac:dyDescent="0.25">
      <c r="A41" s="27"/>
      <c r="B41" s="27"/>
      <c r="C41" s="2">
        <f>+C38-C40</f>
        <v>13645</v>
      </c>
      <c r="D41" s="33"/>
      <c r="E41" s="16"/>
    </row>
    <row r="42" spans="1:18" ht="18.75" x14ac:dyDescent="0.3">
      <c r="A42" s="9" t="s">
        <v>28</v>
      </c>
      <c r="B42" s="9"/>
      <c r="C42" s="17">
        <f>IF(C41&lt;1,"0",(C38-C40))</f>
        <v>13645</v>
      </c>
      <c r="D42" s="34"/>
      <c r="E42" s="77" t="s">
        <v>29</v>
      </c>
      <c r="F42" s="77"/>
      <c r="G42" s="77"/>
      <c r="H42" s="77"/>
    </row>
    <row r="43" spans="1:18" ht="16.5" thickBot="1" x14ac:dyDescent="0.3">
      <c r="C43" s="35"/>
      <c r="D43" s="36"/>
    </row>
    <row r="44" spans="1:18" ht="16.5" thickBot="1" x14ac:dyDescent="0.3">
      <c r="A44" s="9" t="s">
        <v>30</v>
      </c>
      <c r="B44" s="9"/>
      <c r="C44" s="10" t="s">
        <v>54</v>
      </c>
      <c r="D44" s="37"/>
      <c r="E44" s="35"/>
    </row>
    <row r="45" spans="1:18" hidden="1" x14ac:dyDescent="0.25"/>
    <row r="46" spans="1:18" ht="15.75" hidden="1" customHeight="1" x14ac:dyDescent="0.25">
      <c r="C46" s="1">
        <f>VLOOKUP(C44,Formulas!J2:K10,2,FALSE)</f>
        <v>10</v>
      </c>
      <c r="E46" s="1">
        <f>VLOOKUP(C15,Formulas!J24:M33,4,FALSE)</f>
        <v>1</v>
      </c>
      <c r="F46" s="38">
        <f>IF(C40&lt;C27,1,2)</f>
        <v>1</v>
      </c>
      <c r="H46" s="2" t="str">
        <f>CONCATENATE(C46,E46)</f>
        <v>101</v>
      </c>
      <c r="J46" s="1">
        <f>+C42/13</f>
        <v>1049.6153846153845</v>
      </c>
      <c r="L46" s="35">
        <f>IF(C40&lt;C25,(C25/2)-R46,0)</f>
        <v>3366</v>
      </c>
      <c r="M46" s="78" t="s">
        <v>32</v>
      </c>
      <c r="N46" s="78"/>
      <c r="O46" s="1">
        <v>0</v>
      </c>
      <c r="Q46" s="1">
        <f>+C25/2</f>
        <v>3366</v>
      </c>
      <c r="R46" s="1">
        <f>+C40/2</f>
        <v>0</v>
      </c>
    </row>
    <row r="47" spans="1:18" x14ac:dyDescent="0.25">
      <c r="F47" s="38"/>
      <c r="M47" s="78"/>
      <c r="N47" s="78"/>
    </row>
    <row r="48" spans="1:18" x14ac:dyDescent="0.25">
      <c r="F48" s="38"/>
      <c r="M48" s="39"/>
      <c r="N48" s="39"/>
    </row>
    <row r="49" spans="2:14" x14ac:dyDescent="0.25">
      <c r="F49" s="38"/>
      <c r="M49" s="39"/>
      <c r="N49" s="39"/>
    </row>
    <row r="50" spans="2:14" x14ac:dyDescent="0.25">
      <c r="F50" s="38"/>
      <c r="M50" s="39"/>
      <c r="N50" s="39"/>
    </row>
    <row r="51" spans="2:14" x14ac:dyDescent="0.25">
      <c r="F51" s="38"/>
      <c r="M51" s="39"/>
      <c r="N51" s="39"/>
    </row>
    <row r="52" spans="2:14" ht="16.5" thickBot="1" x14ac:dyDescent="0.3">
      <c r="F52" s="38"/>
      <c r="M52" s="39"/>
      <c r="N52" s="39"/>
    </row>
    <row r="53" spans="2:14" ht="16.5" customHeight="1" x14ac:dyDescent="0.3">
      <c r="B53" s="79" t="s">
        <v>33</v>
      </c>
      <c r="C53" s="80"/>
      <c r="D53" s="83">
        <f>IF(L46&gt;1,L46,0)</f>
        <v>3366</v>
      </c>
      <c r="E53" s="40"/>
      <c r="F53" s="41"/>
    </row>
    <row r="54" spans="2:14" ht="26.25" customHeight="1" thickBot="1" x14ac:dyDescent="0.35">
      <c r="B54" s="81"/>
      <c r="C54" s="82"/>
      <c r="D54" s="84"/>
      <c r="E54" s="42"/>
      <c r="F54" s="43"/>
    </row>
    <row r="55" spans="2:14" ht="15" customHeight="1" thickBot="1" x14ac:dyDescent="0.3">
      <c r="B55" s="44"/>
      <c r="D55" s="45"/>
    </row>
    <row r="56" spans="2:14" ht="15.75" customHeight="1" x14ac:dyDescent="0.25">
      <c r="B56" s="91"/>
      <c r="C56" s="80" t="s">
        <v>34</v>
      </c>
      <c r="E56" s="91"/>
      <c r="F56" s="80" t="s">
        <v>35</v>
      </c>
    </row>
    <row r="57" spans="2:14" ht="26.25" customHeight="1" x14ac:dyDescent="0.25">
      <c r="B57" s="92"/>
      <c r="C57" s="93" t="s">
        <v>36</v>
      </c>
      <c r="E57" s="92"/>
      <c r="F57" s="93" t="s">
        <v>36</v>
      </c>
    </row>
    <row r="58" spans="2:14" ht="19.5" thickBot="1" x14ac:dyDescent="0.35">
      <c r="B58" s="42" t="s">
        <v>37</v>
      </c>
      <c r="C58" s="43" t="s">
        <v>38</v>
      </c>
      <c r="E58" s="42" t="s">
        <v>37</v>
      </c>
      <c r="F58" s="43" t="s">
        <v>38</v>
      </c>
    </row>
    <row r="59" spans="2:14" s="6" customFormat="1" x14ac:dyDescent="0.25">
      <c r="B59" s="46">
        <f>VLOOKUP($H$46,Formulas!$B$70:$D$91,3,FALSE)</f>
        <v>1373.5</v>
      </c>
      <c r="C59" s="47" t="s">
        <v>133</v>
      </c>
      <c r="E59" s="46" t="e">
        <f>VLOOKUP($H$46,[1]Formulas!$F$70:$G$72,2,0)</f>
        <v>#N/A</v>
      </c>
      <c r="F59" s="47" t="s">
        <v>144</v>
      </c>
    </row>
    <row r="60" spans="2:14" s="6" customFormat="1" x14ac:dyDescent="0.25">
      <c r="B60" s="46">
        <f>VLOOKUP($H$46,Formulas!$B$77:$D$82,3,FALSE)</f>
        <v>1373.5</v>
      </c>
      <c r="C60" s="48" t="s">
        <v>134</v>
      </c>
      <c r="E60" s="46" t="e">
        <f>VLOOKUP($H$46,[1]Formulas!$F$76:$G$79,2,0)</f>
        <v>#N/A</v>
      </c>
      <c r="F60" s="48" t="s">
        <v>145</v>
      </c>
    </row>
    <row r="61" spans="2:14" x14ac:dyDescent="0.25">
      <c r="B61" s="46">
        <f>VLOOKUP($H$46,Formulas!$B$77:$D$82,3,FALSE)</f>
        <v>1373.5</v>
      </c>
      <c r="C61" s="48" t="s">
        <v>135</v>
      </c>
      <c r="E61" s="46" t="e">
        <f>VLOOKUP($H$46,[1]Formulas!$F$76:$G$79,2,0)</f>
        <v>#N/A</v>
      </c>
      <c r="F61" s="48" t="s">
        <v>146</v>
      </c>
    </row>
    <row r="62" spans="2:14" x14ac:dyDescent="0.25">
      <c r="B62" s="46">
        <f>VLOOKUP($H$46,Formulas!$B$77:$D$82,3,FALSE)</f>
        <v>1373.5</v>
      </c>
      <c r="C62" s="48" t="s">
        <v>136</v>
      </c>
      <c r="E62" s="46" t="e">
        <f>VLOOKUP($H$46,[1]Formulas!$F$76:$G$79,2,0)</f>
        <v>#N/A</v>
      </c>
      <c r="F62" s="48" t="s">
        <v>134</v>
      </c>
    </row>
    <row r="63" spans="2:14" x14ac:dyDescent="0.25">
      <c r="B63" s="46">
        <f>VLOOKUP($H$46,Formulas!$B$77:$D$82,3,FALSE)</f>
        <v>1373.5</v>
      </c>
      <c r="C63" s="48" t="s">
        <v>137</v>
      </c>
      <c r="E63" s="46" t="e">
        <f>VLOOKUP($H$46,[1]Formulas!$F$76:$G$79,2,0)</f>
        <v>#N/A</v>
      </c>
      <c r="F63" s="48" t="s">
        <v>135</v>
      </c>
    </row>
    <row r="64" spans="2:14" x14ac:dyDescent="0.25">
      <c r="B64" s="46">
        <f>VLOOKUP($H$46,Formulas!$B$77:$D$82,3,FALSE)</f>
        <v>1373.5</v>
      </c>
      <c r="C64" s="48" t="s">
        <v>138</v>
      </c>
      <c r="E64" s="46" t="e">
        <f>VLOOKUP($H$46,[1]Formulas!$F$76:$G$79,2,0)</f>
        <v>#N/A</v>
      </c>
      <c r="F64" s="48" t="s">
        <v>136</v>
      </c>
    </row>
    <row r="65" spans="1:8" x14ac:dyDescent="0.25">
      <c r="B65" s="46">
        <f>VLOOKUP($H$46,Formulas!$B$85:$D$90,3,FALSE)</f>
        <v>1373.5</v>
      </c>
      <c r="C65" s="48" t="s">
        <v>139</v>
      </c>
      <c r="E65" s="46" t="e">
        <f>VLOOKUP($H$46,[1]Formulas!$F$76:$G$79,2,0)</f>
        <v>#N/A</v>
      </c>
      <c r="F65" s="48" t="s">
        <v>137</v>
      </c>
    </row>
    <row r="66" spans="1:8" x14ac:dyDescent="0.25">
      <c r="B66" s="46">
        <f>VLOOKUP($H$46,Formulas!$B$77:$D$82,3,FALSE)</f>
        <v>1373.5</v>
      </c>
      <c r="C66" s="48" t="s">
        <v>140</v>
      </c>
      <c r="E66" s="46" t="e">
        <f>VLOOKUP($H$46,[1]Formulas!$F$76:$G$79,2,0)</f>
        <v>#N/A</v>
      </c>
      <c r="F66" s="48" t="s">
        <v>138</v>
      </c>
    </row>
    <row r="67" spans="1:8" x14ac:dyDescent="0.25">
      <c r="B67" s="46">
        <f>VLOOKUP($H$46,Formulas!$B$77:$D$82,3,FALSE)</f>
        <v>1373.5</v>
      </c>
      <c r="C67" s="48" t="s">
        <v>141</v>
      </c>
      <c r="E67" s="46" t="e">
        <f>VLOOKUP(H46,[1]Formulas!F75:G79,2,FALSE)</f>
        <v>#N/A</v>
      </c>
      <c r="F67" s="48" t="s">
        <v>139</v>
      </c>
    </row>
    <row r="68" spans="1:8" x14ac:dyDescent="0.25">
      <c r="B68" s="46">
        <f>VLOOKUP($H$46,Formulas!$B$77:$D$82,3,FALSE)</f>
        <v>1373.5</v>
      </c>
      <c r="C68" s="48" t="s">
        <v>142</v>
      </c>
      <c r="E68" s="46" t="e">
        <f>VLOOKUP($H$46,[1]Formulas!$F$76:$G$79,2,0)</f>
        <v>#N/A</v>
      </c>
      <c r="F68" s="48" t="s">
        <v>140</v>
      </c>
    </row>
    <row r="69" spans="1:8" x14ac:dyDescent="0.25">
      <c r="B69" s="49">
        <f>SUM(B59:B68)</f>
        <v>13735</v>
      </c>
      <c r="C69" s="50"/>
      <c r="E69" s="46" t="e">
        <f>VLOOKUP($H$46,[1]Formulas!$F$76:$G$79,2,0)</f>
        <v>#N/A</v>
      </c>
      <c r="F69" s="48" t="s">
        <v>141</v>
      </c>
    </row>
    <row r="70" spans="1:8" x14ac:dyDescent="0.25">
      <c r="B70" s="51"/>
      <c r="C70" s="51"/>
      <c r="E70" s="46" t="e">
        <f>VLOOKUP($H$46,[1]Formulas!$F$76:$G$79,2,0)</f>
        <v>#N/A</v>
      </c>
      <c r="F70" s="48" t="s">
        <v>142</v>
      </c>
    </row>
    <row r="71" spans="1:8" ht="16.5" thickBot="1" x14ac:dyDescent="0.3">
      <c r="A71" s="35"/>
      <c r="B71" s="100"/>
      <c r="C71" s="53"/>
      <c r="E71" s="46" t="e">
        <f>VLOOKUP($H$46,[1]Formulas!$F$76:$G$79,2,0)</f>
        <v>#N/A</v>
      </c>
      <c r="F71" s="54" t="s">
        <v>143</v>
      </c>
    </row>
    <row r="72" spans="1:8" x14ac:dyDescent="0.25">
      <c r="A72" s="35"/>
      <c r="B72" s="51"/>
      <c r="C72" s="51"/>
      <c r="E72" s="55" t="e">
        <f>SUM(E59:E71)</f>
        <v>#N/A</v>
      </c>
    </row>
    <row r="73" spans="1:8" ht="10.5" customHeight="1" x14ac:dyDescent="0.25">
      <c r="B73" s="51"/>
      <c r="C73" s="51"/>
      <c r="E73" s="56"/>
    </row>
    <row r="74" spans="1:8" ht="16.5" thickBot="1" x14ac:dyDescent="0.3">
      <c r="B74" s="57">
        <f>+D53+B69</f>
        <v>17101</v>
      </c>
      <c r="C74" s="52" t="s">
        <v>39</v>
      </c>
      <c r="E74" s="57" t="e">
        <f>+D53+E72</f>
        <v>#N/A</v>
      </c>
      <c r="F74" s="52" t="s">
        <v>39</v>
      </c>
    </row>
    <row r="75" spans="1:8" ht="17.25" thickTop="1" thickBot="1" x14ac:dyDescent="0.3">
      <c r="B75" s="52"/>
      <c r="C75" s="52"/>
    </row>
    <row r="76" spans="1:8" ht="20.25" customHeight="1" thickBot="1" x14ac:dyDescent="0.3">
      <c r="A76" s="94" t="s">
        <v>40</v>
      </c>
      <c r="B76" s="95"/>
      <c r="C76" s="95"/>
      <c r="D76" s="95"/>
      <c r="E76" s="95"/>
      <c r="F76" s="95"/>
      <c r="G76" s="95"/>
      <c r="H76" s="96"/>
    </row>
    <row r="77" spans="1:8" ht="12" customHeight="1" x14ac:dyDescent="0.25">
      <c r="A77" s="58"/>
      <c r="B77" s="59"/>
      <c r="C77" s="60"/>
      <c r="D77" s="60"/>
      <c r="E77" s="60"/>
      <c r="F77" s="60"/>
      <c r="G77" s="60"/>
      <c r="H77" s="61"/>
    </row>
    <row r="78" spans="1:8" ht="18.75" customHeight="1" x14ac:dyDescent="0.25">
      <c r="A78" s="97" t="s">
        <v>41</v>
      </c>
      <c r="B78" s="98"/>
      <c r="C78" s="98"/>
      <c r="D78" s="98"/>
      <c r="E78" s="98"/>
      <c r="F78" s="98"/>
      <c r="G78" s="98"/>
      <c r="H78" s="99"/>
    </row>
    <row r="79" spans="1:8" ht="21" customHeight="1" x14ac:dyDescent="0.25">
      <c r="A79" s="85" t="s">
        <v>42</v>
      </c>
      <c r="B79" s="86"/>
      <c r="C79" s="86"/>
      <c r="D79" s="86"/>
      <c r="E79" s="86"/>
      <c r="F79" s="86"/>
      <c r="G79" s="86"/>
      <c r="H79" s="87"/>
    </row>
    <row r="80" spans="1:8" ht="29.25" customHeight="1" thickBot="1" x14ac:dyDescent="0.3">
      <c r="A80" s="88" t="s">
        <v>43</v>
      </c>
      <c r="B80" s="89"/>
      <c r="C80" s="89"/>
      <c r="D80" s="89"/>
      <c r="E80" s="89"/>
      <c r="F80" s="89"/>
      <c r="G80" s="89"/>
      <c r="H80" s="90"/>
    </row>
    <row r="82" spans="4:5" x14ac:dyDescent="0.25">
      <c r="D82" s="35"/>
      <c r="E82" s="35"/>
    </row>
    <row r="111" spans="1:1" x14ac:dyDescent="0.25">
      <c r="A111" s="62">
        <f ca="1">TODAY()</f>
        <v>43497</v>
      </c>
    </row>
  </sheetData>
  <sheetProtection selectLockedCells="1"/>
  <mergeCells count="26">
    <mergeCell ref="M46:N47"/>
    <mergeCell ref="A79:H79"/>
    <mergeCell ref="A80:H80"/>
    <mergeCell ref="B56:B57"/>
    <mergeCell ref="C56:C57"/>
    <mergeCell ref="E56:E57"/>
    <mergeCell ref="F56:F57"/>
    <mergeCell ref="A76:H76"/>
    <mergeCell ref="A78:H78"/>
    <mergeCell ref="A40:B40"/>
    <mergeCell ref="E40:H40"/>
    <mergeCell ref="E42:H42"/>
    <mergeCell ref="B53:C54"/>
    <mergeCell ref="D53:D54"/>
    <mergeCell ref="A38:B38"/>
    <mergeCell ref="A6:F6"/>
    <mergeCell ref="A7:F7"/>
    <mergeCell ref="A8:F8"/>
    <mergeCell ref="A9:F9"/>
    <mergeCell ref="A10:F10"/>
    <mergeCell ref="A11:F11"/>
    <mergeCell ref="C20:D20"/>
    <mergeCell ref="E20:H20"/>
    <mergeCell ref="A25:B25"/>
    <mergeCell ref="A27:B27"/>
    <mergeCell ref="A28:B28"/>
  </mergeCells>
  <conditionalFormatting sqref="B59:B74">
    <cfRule type="cellIs" dxfId="2" priority="3" operator="equal">
      <formula>#N/A</formula>
    </cfRule>
    <cfRule type="containsErrors" dxfId="1" priority="4">
      <formula>ISERROR(B59)</formula>
    </cfRule>
  </conditionalFormatting>
  <conditionalFormatting sqref="E59:E74">
    <cfRule type="containsErrors" dxfId="0" priority="1">
      <formula>ISERROR(E59)</formula>
    </cfRule>
  </conditionalFormatting>
  <dataValidations count="5">
    <dataValidation type="list" allowBlank="1" showInputMessage="1" showErrorMessage="1" sqref="C15">
      <formula1>Term_6</formula1>
    </dataValidation>
    <dataValidation type="list" allowBlank="1" showInputMessage="1" showErrorMessage="1" prompt="Select Meal Plan" sqref="C22:D22">
      <formula1>Meals_3</formula1>
    </dataValidation>
    <dataValidation type="list" allowBlank="1" showInputMessage="1" showErrorMessage="1" prompt="Select Class Level" sqref="C18:D18">
      <formula1>Class</formula1>
    </dataValidation>
    <dataValidation type="list" allowBlank="1" showInputMessage="1" showErrorMessage="1" prompt="Select Yes or No" sqref="C24:D24">
      <formula1>Winter</formula1>
    </dataValidation>
    <dataValidation type="list" allowBlank="1" showInputMessage="1" showErrorMessage="1" prompt="Select Payment Plan" sqref="C44:D44">
      <formula1>Payments</formula1>
    </dataValidation>
  </dataValidations>
  <printOptions horizontalCentered="1"/>
  <pageMargins left="0.38" right="0.31" top="0.27" bottom="0.72" header="0.35" footer="0.3"/>
  <pageSetup scale="29" orientation="landscape" r:id="rId1"/>
  <headerFooter>
    <oddFooter>&amp;C&amp;P of &amp;N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Select Meal Plan">
          <x14:formula1>
            <xm:f>Formulas!$D$62:$D$63</xm:f>
          </x14:formula1>
          <xm:sqref>C31</xm:sqref>
        </x14:dataValidation>
        <x14:dataValidation type="list" allowBlank="1" showInputMessage="1" showErrorMessage="1" prompt="Select Meal Plan">
          <x14:formula1>
            <xm:f>Formulas!$D$62:$D$63</xm:f>
          </x14:formula1>
          <xm:sqref>C32</xm:sqref>
        </x14:dataValidation>
        <x14:dataValidation type="list" allowBlank="1" showInputMessage="1" showErrorMessage="1">
          <x14:formula1>
            <xm:f>Formulas!$J$20:$J$22</xm:f>
          </x14:formula1>
          <xm:sqref>C13</xm:sqref>
        </x14:dataValidation>
        <x14:dataValidation type="list" allowBlank="1" showInputMessage="1" showErrorMessage="1">
          <x14:formula1>
            <xm:f>Formulas!$T$15:$T$27</xm:f>
          </x14:formula1>
          <xm:sqref>C20:D20</xm:sqref>
        </x14:dataValidation>
        <x14:dataValidation type="list" allowBlank="1" showInputMessage="1" showErrorMessage="1" prompt="Select Meal Plan">
          <x14:formula1>
            <xm:f>Formulas!$D$62:$D$63</xm:f>
          </x14:formula1>
          <xm:sqref>C30</xm:sqref>
        </x14:dataValidation>
        <x14:dataValidation type="list" allowBlank="1" showInputMessage="1" showErrorMessage="1">
          <x14:formula1>
            <xm:f>Formulas!$D$60:$D$62</xm:f>
          </x14:formula1>
          <xm:sqref>C33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24"/>
  <sheetViews>
    <sheetView showGridLines="0" workbookViewId="0">
      <selection activeCell="G23" sqref="G23"/>
    </sheetView>
  </sheetViews>
  <sheetFormatPr defaultRowHeight="15" x14ac:dyDescent="0.25"/>
  <cols>
    <col min="1" max="1" width="12.28515625" style="103" customWidth="1"/>
    <col min="2" max="3" width="9.140625" style="103"/>
    <col min="4" max="4" width="58.7109375" style="103" customWidth="1"/>
    <col min="5" max="5" width="51.85546875" style="103" customWidth="1"/>
    <col min="6" max="6" width="35.5703125" style="103" bestFit="1" customWidth="1"/>
    <col min="7" max="7" width="34.5703125" style="103" customWidth="1"/>
    <col min="8" max="8" width="29" style="103" customWidth="1"/>
    <col min="9" max="9" width="30.7109375" style="103" bestFit="1" customWidth="1"/>
    <col min="10" max="10" width="49.42578125" style="103" bestFit="1" customWidth="1"/>
    <col min="11" max="11" width="11.85546875" style="103" customWidth="1"/>
    <col min="12" max="12" width="20.42578125" style="103" customWidth="1"/>
    <col min="13" max="13" width="36" style="103" customWidth="1"/>
    <col min="14" max="19" width="9.140625" style="103"/>
    <col min="20" max="20" width="31.85546875" style="103" customWidth="1"/>
    <col min="21" max="21" width="75.140625" style="103" customWidth="1"/>
    <col min="22" max="16384" width="9.140625" style="103"/>
  </cols>
  <sheetData>
    <row r="1" spans="4:21" ht="22.5" x14ac:dyDescent="0.25">
      <c r="D1" s="101" t="s">
        <v>152</v>
      </c>
      <c r="E1" s="101" t="s">
        <v>153</v>
      </c>
      <c r="F1" s="101" t="s">
        <v>154</v>
      </c>
      <c r="G1" s="101" t="s">
        <v>155</v>
      </c>
      <c r="H1" s="101" t="s">
        <v>45</v>
      </c>
      <c r="I1" s="101" t="s">
        <v>46</v>
      </c>
      <c r="J1" s="101" t="s">
        <v>47</v>
      </c>
      <c r="K1" s="102"/>
      <c r="L1" s="102"/>
    </row>
    <row r="2" spans="4:21" ht="30" x14ac:dyDescent="0.25">
      <c r="D2" s="104" t="s">
        <v>105</v>
      </c>
      <c r="E2" s="102" t="s">
        <v>8</v>
      </c>
      <c r="F2" s="102" t="s">
        <v>48</v>
      </c>
      <c r="G2" s="105" t="s">
        <v>90</v>
      </c>
      <c r="H2" s="106">
        <v>3800</v>
      </c>
      <c r="I2" s="102" t="s">
        <v>49</v>
      </c>
      <c r="J2" s="102" t="s">
        <v>50</v>
      </c>
      <c r="K2" s="102">
        <v>1</v>
      </c>
      <c r="L2" s="107" t="s">
        <v>95</v>
      </c>
    </row>
    <row r="3" spans="4:21" ht="60" x14ac:dyDescent="0.25">
      <c r="D3" s="102" t="s">
        <v>158</v>
      </c>
      <c r="E3" s="102" t="s">
        <v>51</v>
      </c>
      <c r="F3" s="102" t="s">
        <v>11</v>
      </c>
      <c r="G3" s="105" t="s">
        <v>91</v>
      </c>
      <c r="H3" s="106">
        <v>3400</v>
      </c>
      <c r="I3" s="102" t="s">
        <v>17</v>
      </c>
      <c r="J3" s="102" t="s">
        <v>31</v>
      </c>
      <c r="K3" s="102">
        <v>2</v>
      </c>
      <c r="L3" s="107" t="s">
        <v>96</v>
      </c>
    </row>
    <row r="4" spans="4:21" ht="45" x14ac:dyDescent="0.25">
      <c r="D4" s="102" t="s">
        <v>160</v>
      </c>
      <c r="E4" s="102"/>
      <c r="F4" s="102" t="s">
        <v>53</v>
      </c>
      <c r="G4" s="105" t="s">
        <v>92</v>
      </c>
      <c r="H4" s="106">
        <v>2500</v>
      </c>
      <c r="I4" s="102"/>
      <c r="J4" s="102" t="s">
        <v>54</v>
      </c>
      <c r="K4" s="102">
        <v>10</v>
      </c>
      <c r="L4" s="107" t="s">
        <v>113</v>
      </c>
    </row>
    <row r="5" spans="4:21" x14ac:dyDescent="0.25">
      <c r="D5" s="102" t="s">
        <v>161</v>
      </c>
      <c r="E5" s="102"/>
      <c r="F5" s="102" t="s">
        <v>56</v>
      </c>
      <c r="G5" s="105" t="s">
        <v>93</v>
      </c>
      <c r="H5" s="106">
        <v>2100</v>
      </c>
      <c r="I5" s="102"/>
      <c r="J5" s="102"/>
      <c r="K5" s="102"/>
      <c r="L5" s="102"/>
    </row>
    <row r="6" spans="4:21" x14ac:dyDescent="0.25">
      <c r="D6" s="102"/>
      <c r="E6" s="102"/>
      <c r="F6" s="102" t="s">
        <v>57</v>
      </c>
      <c r="G6" s="105" t="s">
        <v>94</v>
      </c>
      <c r="H6" s="106">
        <v>1300</v>
      </c>
      <c r="I6" s="102"/>
      <c r="J6" s="102" t="s">
        <v>50</v>
      </c>
      <c r="K6" s="102"/>
      <c r="L6" s="102"/>
    </row>
    <row r="7" spans="4:21" x14ac:dyDescent="0.25">
      <c r="D7" s="102"/>
      <c r="E7" s="102"/>
      <c r="F7" s="102" t="s">
        <v>58</v>
      </c>
      <c r="G7" s="102"/>
      <c r="H7" s="108"/>
      <c r="I7" s="102"/>
      <c r="J7" s="102" t="s">
        <v>31</v>
      </c>
      <c r="K7" s="102"/>
      <c r="L7" s="102"/>
    </row>
    <row r="8" spans="4:21" x14ac:dyDescent="0.25">
      <c r="D8" s="102"/>
      <c r="E8" s="102"/>
      <c r="F8" s="102" t="s">
        <v>59</v>
      </c>
      <c r="G8" s="102"/>
      <c r="H8" s="108"/>
      <c r="I8" s="102"/>
      <c r="J8" s="102" t="s">
        <v>54</v>
      </c>
      <c r="K8" s="102"/>
      <c r="L8" s="102"/>
    </row>
    <row r="9" spans="4:21" x14ac:dyDescent="0.25">
      <c r="D9" s="102"/>
      <c r="E9" s="102"/>
      <c r="F9" s="102" t="s">
        <v>60</v>
      </c>
      <c r="G9" s="102"/>
      <c r="H9" s="108"/>
      <c r="I9" s="102"/>
      <c r="J9" s="102"/>
      <c r="K9" s="102"/>
      <c r="L9" s="102"/>
    </row>
    <row r="10" spans="4:21" x14ac:dyDescent="0.25">
      <c r="H10" s="109"/>
    </row>
    <row r="14" spans="4:21" ht="22.5" x14ac:dyDescent="0.25">
      <c r="D14" s="103" t="s">
        <v>117</v>
      </c>
      <c r="T14" s="110" t="s">
        <v>44</v>
      </c>
    </row>
    <row r="15" spans="4:21" ht="60" x14ac:dyDescent="0.25">
      <c r="T15" s="102" t="s">
        <v>48</v>
      </c>
      <c r="U15" s="107" t="s">
        <v>164</v>
      </c>
    </row>
    <row r="16" spans="4:21" ht="60" x14ac:dyDescent="0.25">
      <c r="D16" s="110" t="s">
        <v>151</v>
      </c>
      <c r="E16" s="110" t="s">
        <v>61</v>
      </c>
      <c r="H16" s="111"/>
      <c r="T16" s="102" t="s">
        <v>62</v>
      </c>
      <c r="U16" s="107" t="s">
        <v>165</v>
      </c>
    </row>
    <row r="17" spans="3:21" ht="60" x14ac:dyDescent="0.25">
      <c r="D17" s="105" t="s">
        <v>106</v>
      </c>
      <c r="E17" s="106">
        <v>4813</v>
      </c>
      <c r="H17" s="112">
        <f>+E17</f>
        <v>4813</v>
      </c>
      <c r="T17" s="102" t="s">
        <v>11</v>
      </c>
      <c r="U17" s="137" t="s">
        <v>63</v>
      </c>
    </row>
    <row r="18" spans="3:21" ht="45" x14ac:dyDescent="0.25">
      <c r="D18" s="105" t="s">
        <v>107</v>
      </c>
      <c r="E18" s="106">
        <v>6970</v>
      </c>
      <c r="H18" s="112">
        <f t="shared" ref="H18:H20" si="0">+E18</f>
        <v>6970</v>
      </c>
      <c r="T18" s="102" t="s">
        <v>53</v>
      </c>
      <c r="U18" s="107" t="s">
        <v>64</v>
      </c>
    </row>
    <row r="19" spans="3:21" ht="30" x14ac:dyDescent="0.25">
      <c r="D19" s="105" t="s">
        <v>108</v>
      </c>
      <c r="E19" s="106">
        <v>7895</v>
      </c>
      <c r="H19" s="112">
        <f t="shared" si="0"/>
        <v>7895</v>
      </c>
      <c r="J19" s="110" t="s">
        <v>3</v>
      </c>
      <c r="T19" s="102" t="s">
        <v>56</v>
      </c>
      <c r="U19" s="107" t="s">
        <v>65</v>
      </c>
    </row>
    <row r="20" spans="3:21" ht="60" x14ac:dyDescent="0.25">
      <c r="D20" s="105" t="s">
        <v>109</v>
      </c>
      <c r="E20" s="106">
        <v>8409</v>
      </c>
      <c r="H20" s="112">
        <f t="shared" si="0"/>
        <v>8409</v>
      </c>
      <c r="I20" s="113" t="s">
        <v>132</v>
      </c>
      <c r="J20" s="105" t="s">
        <v>66</v>
      </c>
      <c r="K20" s="106">
        <v>7072</v>
      </c>
      <c r="L20" s="114" t="s">
        <v>131</v>
      </c>
      <c r="M20" s="138" t="s">
        <v>130</v>
      </c>
      <c r="T20" s="102" t="s">
        <v>57</v>
      </c>
      <c r="U20" s="137" t="s">
        <v>63</v>
      </c>
    </row>
    <row r="21" spans="3:21" ht="45" x14ac:dyDescent="0.25">
      <c r="C21" s="115" t="s">
        <v>104</v>
      </c>
      <c r="D21" s="105" t="s">
        <v>110</v>
      </c>
      <c r="E21" s="106">
        <v>6970</v>
      </c>
      <c r="H21" s="112" t="e">
        <f>+#REF!</f>
        <v>#REF!</v>
      </c>
      <c r="J21" s="105" t="s">
        <v>67</v>
      </c>
      <c r="K21" s="106">
        <v>16580</v>
      </c>
      <c r="L21" s="114" t="s">
        <v>131</v>
      </c>
      <c r="M21" s="138" t="s">
        <v>129</v>
      </c>
      <c r="T21" s="102" t="s">
        <v>60</v>
      </c>
      <c r="U21" s="107" t="s">
        <v>65</v>
      </c>
    </row>
    <row r="22" spans="3:21" ht="30" x14ac:dyDescent="0.25">
      <c r="D22" s="105" t="s">
        <v>111</v>
      </c>
      <c r="E22" s="106">
        <v>8488</v>
      </c>
      <c r="H22" s="112">
        <f>+E22</f>
        <v>8488</v>
      </c>
      <c r="J22" s="105" t="s">
        <v>4</v>
      </c>
      <c r="K22" s="106">
        <v>16580</v>
      </c>
      <c r="L22" s="102"/>
      <c r="M22" s="102"/>
      <c r="T22" s="102" t="s">
        <v>58</v>
      </c>
      <c r="U22" s="107" t="s">
        <v>65</v>
      </c>
    </row>
    <row r="23" spans="3:21" ht="30" x14ac:dyDescent="0.25">
      <c r="D23" s="105" t="s">
        <v>112</v>
      </c>
      <c r="E23" s="106">
        <v>8678</v>
      </c>
      <c r="H23" s="112">
        <f>+E23</f>
        <v>8678</v>
      </c>
      <c r="J23" s="116" t="s">
        <v>68</v>
      </c>
      <c r="K23" s="102"/>
      <c r="L23" s="102"/>
      <c r="M23" s="102"/>
      <c r="T23" s="102" t="s">
        <v>59</v>
      </c>
      <c r="U23" s="107" t="s">
        <v>65</v>
      </c>
    </row>
    <row r="24" spans="3:21" ht="30" x14ac:dyDescent="0.25">
      <c r="D24" s="111" t="s">
        <v>97</v>
      </c>
      <c r="E24" s="117"/>
      <c r="H24" s="111">
        <f>+E24</f>
        <v>0</v>
      </c>
      <c r="I24" s="117"/>
      <c r="J24" s="118" t="s">
        <v>105</v>
      </c>
      <c r="K24" s="104">
        <v>7072</v>
      </c>
      <c r="L24" s="102"/>
      <c r="M24" s="102">
        <v>1</v>
      </c>
      <c r="T24" s="102" t="s">
        <v>59</v>
      </c>
      <c r="U24" s="107" t="s">
        <v>65</v>
      </c>
    </row>
    <row r="25" spans="3:21" ht="45" x14ac:dyDescent="0.25">
      <c r="D25" s="111" t="s">
        <v>98</v>
      </c>
      <c r="H25" s="111">
        <f t="shared" ref="H25:H37" si="1">SUM(E24:G24)</f>
        <v>0</v>
      </c>
      <c r="I25" s="119"/>
      <c r="J25" s="105" t="s">
        <v>69</v>
      </c>
      <c r="K25" s="104">
        <v>7072</v>
      </c>
      <c r="L25" s="102"/>
      <c r="M25" s="102">
        <v>4</v>
      </c>
      <c r="T25" s="102" t="s">
        <v>70</v>
      </c>
      <c r="U25" s="107" t="s">
        <v>64</v>
      </c>
    </row>
    <row r="26" spans="3:21" ht="30" x14ac:dyDescent="0.25">
      <c r="D26" s="111" t="s">
        <v>99</v>
      </c>
      <c r="H26" s="111">
        <f t="shared" si="1"/>
        <v>0</v>
      </c>
      <c r="J26" s="105" t="s">
        <v>52</v>
      </c>
      <c r="K26" s="104">
        <v>7072</v>
      </c>
      <c r="L26" s="102"/>
      <c r="M26" s="102">
        <v>4</v>
      </c>
      <c r="T26" s="102" t="s">
        <v>71</v>
      </c>
      <c r="U26" s="107" t="s">
        <v>65</v>
      </c>
    </row>
    <row r="27" spans="3:21" x14ac:dyDescent="0.25">
      <c r="D27" s="111" t="s">
        <v>100</v>
      </c>
      <c r="H27" s="111">
        <f t="shared" si="1"/>
        <v>0</v>
      </c>
      <c r="J27" s="118" t="s">
        <v>114</v>
      </c>
      <c r="K27" s="104">
        <v>7072</v>
      </c>
      <c r="L27" s="102"/>
      <c r="M27" s="102">
        <v>5</v>
      </c>
      <c r="T27" s="102"/>
      <c r="U27" s="107"/>
    </row>
    <row r="28" spans="3:21" x14ac:dyDescent="0.25">
      <c r="D28" s="111" t="s">
        <v>101</v>
      </c>
      <c r="H28" s="111">
        <f t="shared" si="1"/>
        <v>0</v>
      </c>
      <c r="J28" s="105" t="s">
        <v>55</v>
      </c>
      <c r="K28" s="104">
        <v>7072</v>
      </c>
      <c r="L28" s="102"/>
      <c r="M28" s="102">
        <v>4</v>
      </c>
    </row>
    <row r="29" spans="3:21" x14ac:dyDescent="0.25">
      <c r="D29" s="111" t="s">
        <v>102</v>
      </c>
      <c r="H29" s="111">
        <f t="shared" si="1"/>
        <v>0</v>
      </c>
      <c r="J29" s="105"/>
      <c r="K29" s="102"/>
      <c r="L29" s="102"/>
      <c r="M29" s="102"/>
    </row>
    <row r="30" spans="3:21" x14ac:dyDescent="0.25">
      <c r="D30" s="111" t="s">
        <v>103</v>
      </c>
      <c r="H30" s="111">
        <f t="shared" si="1"/>
        <v>0</v>
      </c>
      <c r="J30" s="105"/>
      <c r="K30" s="102"/>
      <c r="L30" s="102"/>
      <c r="M30" s="102"/>
    </row>
    <row r="31" spans="3:21" x14ac:dyDescent="0.25">
      <c r="D31" s="111" t="s">
        <v>118</v>
      </c>
      <c r="H31" s="111">
        <f t="shared" si="1"/>
        <v>0</v>
      </c>
      <c r="J31" s="118" t="s">
        <v>156</v>
      </c>
      <c r="K31" s="104">
        <v>7072</v>
      </c>
      <c r="L31" s="102"/>
      <c r="M31" s="102">
        <v>2</v>
      </c>
    </row>
    <row r="32" spans="3:21" x14ac:dyDescent="0.25">
      <c r="D32" s="111" t="s">
        <v>119</v>
      </c>
      <c r="F32" s="120"/>
      <c r="H32" s="111">
        <f t="shared" si="1"/>
        <v>0</v>
      </c>
      <c r="J32" s="118" t="s">
        <v>157</v>
      </c>
      <c r="K32" s="121">
        <f>+K31</f>
        <v>7072</v>
      </c>
      <c r="L32" s="102"/>
      <c r="M32" s="102">
        <v>3</v>
      </c>
    </row>
    <row r="33" spans="4:11" x14ac:dyDescent="0.25">
      <c r="D33" s="111" t="s">
        <v>120</v>
      </c>
      <c r="F33" s="120"/>
      <c r="H33" s="111">
        <f t="shared" si="1"/>
        <v>0</v>
      </c>
      <c r="K33" s="103" t="s">
        <v>72</v>
      </c>
    </row>
    <row r="34" spans="4:11" x14ac:dyDescent="0.25">
      <c r="D34" s="111" t="s">
        <v>121</v>
      </c>
      <c r="F34" s="120"/>
      <c r="H34" s="111">
        <f t="shared" si="1"/>
        <v>0</v>
      </c>
    </row>
    <row r="35" spans="4:11" x14ac:dyDescent="0.25">
      <c r="D35" s="111" t="s">
        <v>122</v>
      </c>
      <c r="F35" s="119"/>
      <c r="H35" s="111">
        <f t="shared" si="1"/>
        <v>0</v>
      </c>
    </row>
    <row r="36" spans="4:11" x14ac:dyDescent="0.25">
      <c r="D36" s="111" t="s">
        <v>123</v>
      </c>
      <c r="F36" s="119"/>
      <c r="H36" s="111">
        <f t="shared" si="1"/>
        <v>0</v>
      </c>
    </row>
    <row r="37" spans="4:11" x14ac:dyDescent="0.25">
      <c r="D37" s="111" t="s">
        <v>124</v>
      </c>
      <c r="F37" s="119"/>
      <c r="H37" s="111">
        <f t="shared" si="1"/>
        <v>0</v>
      </c>
    </row>
    <row r="38" spans="4:11" x14ac:dyDescent="0.25">
      <c r="D38" s="122" t="s">
        <v>159</v>
      </c>
      <c r="E38" s="106">
        <v>11044.64</v>
      </c>
      <c r="F38" s="119"/>
      <c r="H38" s="111">
        <f>+E38</f>
        <v>11044.64</v>
      </c>
    </row>
    <row r="39" spans="4:11" x14ac:dyDescent="0.25">
      <c r="D39" s="122" t="s">
        <v>162</v>
      </c>
      <c r="E39" s="106">
        <v>10543.27</v>
      </c>
      <c r="F39" s="119"/>
      <c r="G39" s="119"/>
      <c r="H39" s="111">
        <f>+E39</f>
        <v>10543.27</v>
      </c>
    </row>
    <row r="40" spans="4:11" x14ac:dyDescent="0.25">
      <c r="D40" s="122" t="s">
        <v>163</v>
      </c>
      <c r="E40" s="106">
        <v>10819.64</v>
      </c>
      <c r="F40" s="119"/>
      <c r="G40" s="119"/>
      <c r="H40" s="123">
        <f>E40</f>
        <v>10819.64</v>
      </c>
    </row>
    <row r="41" spans="4:11" x14ac:dyDescent="0.25">
      <c r="D41" s="111" t="s">
        <v>115</v>
      </c>
      <c r="E41" s="103">
        <v>6506.62</v>
      </c>
      <c r="F41" s="119"/>
      <c r="G41" s="119"/>
      <c r="H41" s="111">
        <f>+E41</f>
        <v>6506.62</v>
      </c>
    </row>
    <row r="42" spans="4:11" x14ac:dyDescent="0.25">
      <c r="D42" s="111" t="s">
        <v>126</v>
      </c>
      <c r="F42" s="119"/>
      <c r="G42" s="119"/>
      <c r="H42" s="111">
        <f t="shared" ref="H42:H52" si="2">SUM(E41:G41)</f>
        <v>6506.62</v>
      </c>
    </row>
    <row r="43" spans="4:11" x14ac:dyDescent="0.25">
      <c r="D43" s="111" t="s">
        <v>128</v>
      </c>
      <c r="F43" s="119"/>
      <c r="G43" s="119"/>
      <c r="H43" s="111">
        <f t="shared" si="2"/>
        <v>0</v>
      </c>
    </row>
    <row r="44" spans="4:11" x14ac:dyDescent="0.25">
      <c r="D44" s="111" t="s">
        <v>116</v>
      </c>
      <c r="E44" s="103">
        <v>6506.62</v>
      </c>
      <c r="F44" s="119"/>
      <c r="G44" s="119"/>
      <c r="H44" s="111">
        <f>+E44</f>
        <v>6506.62</v>
      </c>
    </row>
    <row r="45" spans="4:11" x14ac:dyDescent="0.25">
      <c r="D45" s="111" t="s">
        <v>125</v>
      </c>
      <c r="F45" s="119"/>
      <c r="G45" s="119"/>
      <c r="H45" s="111">
        <f t="shared" si="2"/>
        <v>6506.62</v>
      </c>
    </row>
    <row r="46" spans="4:11" x14ac:dyDescent="0.25">
      <c r="D46" s="111" t="s">
        <v>127</v>
      </c>
      <c r="F46" s="119"/>
      <c r="G46" s="119"/>
      <c r="H46" s="111">
        <f t="shared" si="2"/>
        <v>0</v>
      </c>
    </row>
    <row r="47" spans="4:11" x14ac:dyDescent="0.25">
      <c r="D47" s="124" t="s">
        <v>73</v>
      </c>
      <c r="E47" s="124">
        <v>3120.87</v>
      </c>
      <c r="F47" s="119"/>
      <c r="G47" s="119"/>
      <c r="H47" s="111">
        <f t="shared" si="2"/>
        <v>0</v>
      </c>
    </row>
    <row r="48" spans="4:11" x14ac:dyDescent="0.25">
      <c r="D48" s="124" t="s">
        <v>74</v>
      </c>
      <c r="E48" s="124">
        <v>3584.01</v>
      </c>
      <c r="F48" s="119"/>
      <c r="G48" s="119"/>
      <c r="H48" s="111">
        <f t="shared" si="2"/>
        <v>3120.87</v>
      </c>
    </row>
    <row r="49" spans="4:9" x14ac:dyDescent="0.25">
      <c r="D49" s="124" t="s">
        <v>75</v>
      </c>
      <c r="E49" s="124">
        <v>3728.75</v>
      </c>
      <c r="F49" s="119"/>
      <c r="G49" s="119"/>
      <c r="H49" s="111">
        <f t="shared" si="2"/>
        <v>3584.01</v>
      </c>
    </row>
    <row r="50" spans="4:9" x14ac:dyDescent="0.25">
      <c r="D50" s="124" t="s">
        <v>76</v>
      </c>
      <c r="E50" s="124">
        <v>3902.44</v>
      </c>
      <c r="F50" s="119"/>
      <c r="G50" s="119"/>
      <c r="H50" s="111">
        <f t="shared" si="2"/>
        <v>3728.75</v>
      </c>
    </row>
    <row r="51" spans="4:9" x14ac:dyDescent="0.25">
      <c r="D51" s="124" t="s">
        <v>77</v>
      </c>
      <c r="E51" s="124">
        <v>7584.01</v>
      </c>
      <c r="F51" s="119"/>
      <c r="G51" s="119"/>
      <c r="H51" s="111">
        <f t="shared" si="2"/>
        <v>3902.44</v>
      </c>
    </row>
    <row r="52" spans="4:9" x14ac:dyDescent="0.25">
      <c r="H52" s="111">
        <f t="shared" si="2"/>
        <v>7584.01</v>
      </c>
    </row>
    <row r="53" spans="4:9" x14ac:dyDescent="0.25">
      <c r="F53" s="119"/>
      <c r="G53" s="119"/>
      <c r="H53" s="111"/>
    </row>
    <row r="54" spans="4:9" x14ac:dyDescent="0.25">
      <c r="F54" s="119"/>
      <c r="G54" s="119"/>
      <c r="H54" s="111"/>
      <c r="I54" s="119"/>
    </row>
    <row r="55" spans="4:9" x14ac:dyDescent="0.25">
      <c r="F55" s="125"/>
      <c r="H55" s="111"/>
    </row>
    <row r="56" spans="4:9" x14ac:dyDescent="0.25">
      <c r="F56" s="125"/>
      <c r="H56" s="111"/>
    </row>
    <row r="57" spans="4:9" x14ac:dyDescent="0.25">
      <c r="F57" s="125"/>
      <c r="H57" s="111"/>
    </row>
    <row r="58" spans="4:9" x14ac:dyDescent="0.25">
      <c r="F58" s="125"/>
    </row>
    <row r="59" spans="4:9" x14ac:dyDescent="0.25">
      <c r="F59" s="125"/>
    </row>
    <row r="60" spans="4:9" x14ac:dyDescent="0.25">
      <c r="D60" s="103" t="s">
        <v>78</v>
      </c>
      <c r="F60" s="125"/>
      <c r="I60" s="119"/>
    </row>
    <row r="61" spans="4:9" x14ac:dyDescent="0.25">
      <c r="D61" s="103" t="s">
        <v>79</v>
      </c>
      <c r="F61" s="125"/>
    </row>
    <row r="62" spans="4:9" x14ac:dyDescent="0.25">
      <c r="D62" s="103" t="s">
        <v>17</v>
      </c>
      <c r="F62" s="125"/>
    </row>
    <row r="63" spans="4:9" x14ac:dyDescent="0.25">
      <c r="D63" s="103" t="s">
        <v>49</v>
      </c>
      <c r="F63" s="126"/>
    </row>
    <row r="64" spans="4:9" x14ac:dyDescent="0.25">
      <c r="F64" s="127"/>
    </row>
    <row r="65" spans="1:9" x14ac:dyDescent="0.25">
      <c r="F65" s="128"/>
      <c r="G65" s="129"/>
    </row>
    <row r="66" spans="1:9" x14ac:dyDescent="0.25">
      <c r="F66" s="125"/>
    </row>
    <row r="69" spans="1:9" ht="22.5" x14ac:dyDescent="0.25">
      <c r="D69" s="110" t="s">
        <v>166</v>
      </c>
      <c r="F69" s="103" t="s">
        <v>80</v>
      </c>
    </row>
    <row r="70" spans="1:9" x14ac:dyDescent="0.25">
      <c r="A70" s="139" t="s">
        <v>50</v>
      </c>
      <c r="B70" s="140" t="s">
        <v>81</v>
      </c>
      <c r="C70" s="102">
        <v>1</v>
      </c>
      <c r="D70" s="141">
        <f>+'Housing Financial Planning '!C42</f>
        <v>13645</v>
      </c>
      <c r="F70" s="130" t="s">
        <v>82</v>
      </c>
      <c r="G70" s="131">
        <f>+'[1]Housing Financial Planning '!C42-'[1]Housing Financial Planning '!L46</f>
        <v>17812.71</v>
      </c>
    </row>
    <row r="71" spans="1:9" ht="45" x14ac:dyDescent="0.25">
      <c r="A71" s="142" t="s">
        <v>148</v>
      </c>
      <c r="B71" s="140" t="s">
        <v>83</v>
      </c>
      <c r="C71" s="102">
        <v>2</v>
      </c>
      <c r="D71" s="143">
        <f>+(D70/2)+5</f>
        <v>6827.5</v>
      </c>
      <c r="F71" s="130" t="s">
        <v>84</v>
      </c>
      <c r="G71" s="129">
        <f>(+G70/2)+5</f>
        <v>8911.3549999999996</v>
      </c>
    </row>
    <row r="72" spans="1:9" ht="30" x14ac:dyDescent="0.25">
      <c r="A72" s="139" t="s">
        <v>54</v>
      </c>
      <c r="B72" s="144" t="s">
        <v>85</v>
      </c>
      <c r="C72" s="102">
        <v>10</v>
      </c>
      <c r="D72" s="145">
        <f>(+D70+90)/10</f>
        <v>1373.5</v>
      </c>
      <c r="F72" s="130" t="s">
        <v>86</v>
      </c>
      <c r="G72" s="134">
        <f>+G70/13</f>
        <v>1370.2084615384615</v>
      </c>
    </row>
    <row r="73" spans="1:9" x14ac:dyDescent="0.25">
      <c r="B73" s="135" t="s">
        <v>87</v>
      </c>
      <c r="C73" s="111">
        <v>1</v>
      </c>
      <c r="D73" s="111">
        <f>(+D70+90)/10</f>
        <v>1373.5</v>
      </c>
    </row>
    <row r="74" spans="1:9" x14ac:dyDescent="0.25">
      <c r="B74" s="135" t="s">
        <v>88</v>
      </c>
      <c r="C74" s="111">
        <v>2</v>
      </c>
      <c r="D74" s="136">
        <f>+D70</f>
        <v>13645</v>
      </c>
      <c r="I74" s="119"/>
    </row>
    <row r="75" spans="1:9" x14ac:dyDescent="0.25">
      <c r="B75" s="135" t="s">
        <v>89</v>
      </c>
      <c r="C75" s="111">
        <v>10</v>
      </c>
      <c r="D75" s="111">
        <f>(D74/2)+5</f>
        <v>6827.5</v>
      </c>
      <c r="F75" s="130" t="s">
        <v>84</v>
      </c>
      <c r="G75" s="129">
        <f>+G71</f>
        <v>8911.3549999999996</v>
      </c>
    </row>
    <row r="76" spans="1:9" x14ac:dyDescent="0.25">
      <c r="B76" s="111"/>
      <c r="C76" s="111"/>
      <c r="D76" s="111">
        <f>+D73</f>
        <v>1373.5</v>
      </c>
      <c r="F76" s="130"/>
      <c r="G76" s="129">
        <v>0</v>
      </c>
    </row>
    <row r="77" spans="1:9" x14ac:dyDescent="0.25">
      <c r="A77" s="139" t="s">
        <v>50</v>
      </c>
      <c r="B77" s="140" t="s">
        <v>81</v>
      </c>
      <c r="C77" s="102">
        <v>1</v>
      </c>
      <c r="D77" s="146"/>
      <c r="F77" s="130" t="s">
        <v>84</v>
      </c>
      <c r="G77" s="129">
        <v>0</v>
      </c>
    </row>
    <row r="78" spans="1:9" x14ac:dyDescent="0.25">
      <c r="A78" s="142" t="s">
        <v>31</v>
      </c>
      <c r="B78" s="140" t="s">
        <v>83</v>
      </c>
      <c r="C78" s="102">
        <v>2</v>
      </c>
      <c r="D78" s="143">
        <f>+D77</f>
        <v>0</v>
      </c>
      <c r="F78" s="130" t="s">
        <v>86</v>
      </c>
      <c r="G78" s="129">
        <f>+G70/13</f>
        <v>1370.2084615384615</v>
      </c>
    </row>
    <row r="79" spans="1:9" x14ac:dyDescent="0.25">
      <c r="B79" s="135" t="s">
        <v>87</v>
      </c>
      <c r="C79" s="111">
        <v>5</v>
      </c>
      <c r="D79" s="136">
        <f>+D78</f>
        <v>0</v>
      </c>
      <c r="F79" s="130" t="s">
        <v>82</v>
      </c>
      <c r="G79" s="134">
        <v>0</v>
      </c>
    </row>
    <row r="80" spans="1:9" x14ac:dyDescent="0.25">
      <c r="B80" s="135" t="s">
        <v>88</v>
      </c>
      <c r="C80" s="111">
        <v>5</v>
      </c>
      <c r="D80" s="136">
        <v>0</v>
      </c>
    </row>
    <row r="81" spans="1:7" x14ac:dyDescent="0.25">
      <c r="B81" s="135" t="s">
        <v>89</v>
      </c>
      <c r="C81" s="111">
        <v>5</v>
      </c>
      <c r="D81" s="136">
        <v>0</v>
      </c>
    </row>
    <row r="82" spans="1:7" ht="30" x14ac:dyDescent="0.25">
      <c r="A82" s="139" t="s">
        <v>54</v>
      </c>
      <c r="B82" s="144" t="s">
        <v>85</v>
      </c>
      <c r="C82" s="105">
        <v>10</v>
      </c>
      <c r="D82" s="143">
        <f>+D73</f>
        <v>1373.5</v>
      </c>
      <c r="F82" s="125"/>
    </row>
    <row r="83" spans="1:7" x14ac:dyDescent="0.25">
      <c r="D83" s="103">
        <f>+D73</f>
        <v>1373.5</v>
      </c>
      <c r="F83" s="125"/>
      <c r="G83" s="103">
        <v>0</v>
      </c>
    </row>
    <row r="84" spans="1:7" x14ac:dyDescent="0.25">
      <c r="F84" s="130" t="s">
        <v>82</v>
      </c>
    </row>
    <row r="85" spans="1:7" x14ac:dyDescent="0.25">
      <c r="B85" s="130" t="s">
        <v>81</v>
      </c>
      <c r="C85" s="103">
        <v>1</v>
      </c>
      <c r="F85" s="130" t="s">
        <v>84</v>
      </c>
      <c r="G85" s="132">
        <f>+G71</f>
        <v>8911.3549999999996</v>
      </c>
    </row>
    <row r="86" spans="1:7" x14ac:dyDescent="0.25">
      <c r="B86" s="130" t="s">
        <v>87</v>
      </c>
      <c r="C86" s="103">
        <v>5</v>
      </c>
      <c r="D86" s="103">
        <v>0</v>
      </c>
      <c r="F86" s="130" t="s">
        <v>86</v>
      </c>
      <c r="G86" s="132">
        <f>+G72</f>
        <v>1370.2084615384615</v>
      </c>
    </row>
    <row r="87" spans="1:7" x14ac:dyDescent="0.25">
      <c r="B87" s="130" t="s">
        <v>83</v>
      </c>
      <c r="C87" s="103">
        <v>2</v>
      </c>
      <c r="D87" s="132">
        <f>D71</f>
        <v>6827.5</v>
      </c>
    </row>
    <row r="88" spans="1:7" x14ac:dyDescent="0.25">
      <c r="B88" s="130" t="s">
        <v>88</v>
      </c>
      <c r="C88" s="103">
        <v>5</v>
      </c>
      <c r="D88" s="103">
        <f>+D72</f>
        <v>1373.5</v>
      </c>
      <c r="G88" s="130"/>
    </row>
    <row r="89" spans="1:7" x14ac:dyDescent="0.25">
      <c r="B89" s="130" t="s">
        <v>89</v>
      </c>
      <c r="C89" s="103">
        <v>5</v>
      </c>
      <c r="D89" s="103">
        <f>+D88</f>
        <v>1373.5</v>
      </c>
      <c r="G89" s="130"/>
    </row>
    <row r="90" spans="1:7" x14ac:dyDescent="0.25">
      <c r="B90" s="130" t="s">
        <v>85</v>
      </c>
      <c r="C90" s="103">
        <v>10</v>
      </c>
      <c r="D90" s="133">
        <f>D72</f>
        <v>1373.5</v>
      </c>
      <c r="F90" s="125"/>
      <c r="G90" s="130"/>
    </row>
    <row r="91" spans="1:7" x14ac:dyDescent="0.25">
      <c r="D91" s="103">
        <f>+D73</f>
        <v>1373.5</v>
      </c>
      <c r="F91" s="125"/>
    </row>
    <row r="93" spans="1:7" x14ac:dyDescent="0.25">
      <c r="F93" s="125"/>
      <c r="G93" s="130"/>
    </row>
    <row r="94" spans="1:7" x14ac:dyDescent="0.25">
      <c r="F94" s="125">
        <v>4</v>
      </c>
      <c r="G94" s="103" t="s">
        <v>150</v>
      </c>
    </row>
    <row r="96" spans="1:7" x14ac:dyDescent="0.25">
      <c r="D96" s="103" t="str">
        <f>'Housing Financial Planning '!C15</f>
        <v>Academic Year 2019-20</v>
      </c>
      <c r="E96" s="103">
        <v>4</v>
      </c>
      <c r="F96" s="103" t="s">
        <v>146</v>
      </c>
    </row>
    <row r="97" spans="5:9" x14ac:dyDescent="0.25">
      <c r="E97" s="103">
        <v>1</v>
      </c>
      <c r="F97" s="103" t="s">
        <v>149</v>
      </c>
    </row>
    <row r="106" spans="5:9" x14ac:dyDescent="0.25">
      <c r="F106" s="125"/>
    </row>
    <row r="107" spans="5:9" x14ac:dyDescent="0.25">
      <c r="F107" s="125"/>
    </row>
    <row r="108" spans="5:9" x14ac:dyDescent="0.25">
      <c r="F108" s="125"/>
    </row>
    <row r="109" spans="5:9" x14ac:dyDescent="0.25">
      <c r="F109" s="125"/>
    </row>
    <row r="112" spans="5:9" x14ac:dyDescent="0.25">
      <c r="I112" s="119"/>
    </row>
    <row r="113" spans="6:9" x14ac:dyDescent="0.25">
      <c r="F113" s="125"/>
    </row>
    <row r="114" spans="6:9" x14ac:dyDescent="0.25">
      <c r="F114" s="125"/>
    </row>
    <row r="115" spans="6:9" x14ac:dyDescent="0.25">
      <c r="F115" s="125"/>
    </row>
    <row r="116" spans="6:9" x14ac:dyDescent="0.25">
      <c r="F116" s="125"/>
    </row>
    <row r="117" spans="6:9" x14ac:dyDescent="0.25">
      <c r="F117" s="125"/>
    </row>
    <row r="118" spans="6:9" x14ac:dyDescent="0.25">
      <c r="F118" s="125"/>
      <c r="I118" s="119"/>
    </row>
    <row r="119" spans="6:9" x14ac:dyDescent="0.25">
      <c r="F119" s="125"/>
    </row>
    <row r="120" spans="6:9" x14ac:dyDescent="0.25">
      <c r="F120" s="125"/>
    </row>
    <row r="121" spans="6:9" x14ac:dyDescent="0.25">
      <c r="F121" s="125"/>
    </row>
    <row r="122" spans="6:9" x14ac:dyDescent="0.25">
      <c r="F122" s="125"/>
    </row>
    <row r="123" spans="6:9" x14ac:dyDescent="0.25">
      <c r="F123" s="125"/>
    </row>
    <row r="124" spans="6:9" x14ac:dyDescent="0.25">
      <c r="F124" s="125"/>
    </row>
  </sheetData>
  <hyperlinks>
    <hyperlink ref="M21" r:id="rId1"/>
    <hyperlink ref="M20" r:id="rId2"/>
  </hyperlinks>
  <pageMargins left="0.7" right="0.7" top="0.75" bottom="0.75" header="0.3" footer="0.3"/>
  <pageSetup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Housing Financial Planning </vt:lpstr>
      <vt:lpstr>Formulas</vt:lpstr>
      <vt:lpstr>Class</vt:lpstr>
      <vt:lpstr>Meals</vt:lpstr>
      <vt:lpstr>Meals_1</vt:lpstr>
      <vt:lpstr>Meals_2</vt:lpstr>
      <vt:lpstr>Meals_3</vt:lpstr>
      <vt:lpstr>meals3</vt:lpstr>
      <vt:lpstr>Payments</vt:lpstr>
      <vt:lpstr>'Housing Financial Planning '!Print_Area</vt:lpstr>
      <vt:lpstr>Room_Type</vt:lpstr>
      <vt:lpstr>Room_Type1</vt:lpstr>
      <vt:lpstr>Roomtype_1</vt:lpstr>
      <vt:lpstr>Term_4</vt:lpstr>
      <vt:lpstr>Term_5</vt:lpstr>
      <vt:lpstr>Term_6</vt:lpstr>
      <vt:lpstr>Winter</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 Housing</dc:creator>
  <cp:lastModifiedBy>RA Housing</cp:lastModifiedBy>
  <dcterms:created xsi:type="dcterms:W3CDTF">2017-03-01T21:27:23Z</dcterms:created>
  <dcterms:modified xsi:type="dcterms:W3CDTF">2019-02-02T00:07:40Z</dcterms:modified>
</cp:coreProperties>
</file>