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giannini\Desktop\Housing Renee's Files\Renee's files\"/>
    </mc:Choice>
  </mc:AlternateContent>
  <bookViews>
    <workbookView xWindow="0" yWindow="0" windowWidth="19200" windowHeight="12180"/>
  </bookViews>
  <sheets>
    <sheet name="Housing Financial Planning " sheetId="1" r:id="rId1"/>
    <sheet name="Formulas" sheetId="2" state="hidden" r:id="rId2"/>
  </sheets>
  <definedNames>
    <definedName name="Class">Formulas!$E$2:$E$4</definedName>
    <definedName name="Meals">Formulas!$G$6:$G$9</definedName>
    <definedName name="Meals_1">Formulas!$G$6:$G$10</definedName>
    <definedName name="Meals_2">Formulas!$G$2:$G$18</definedName>
    <definedName name="Meals_3">Formulas!$G$2:$G$10</definedName>
    <definedName name="meals3">Formulas!$G$2:$G$18</definedName>
    <definedName name="Payments">Formulas!$J$2:$J$4</definedName>
    <definedName name="_xlnm.Print_Area" localSheetId="0">'Housing Financial Planning '!$A$1:$H$78</definedName>
    <definedName name="Room_Type">Formulas!$F$2:$F$7</definedName>
    <definedName name="Room_Type1">Formulas!$F$2:$F$8</definedName>
    <definedName name="Roomtype_1">Formulas!$F$2:$F$8</definedName>
    <definedName name="Term">Formulas!#REF!</definedName>
    <definedName name="Term_1">Formulas!#REF!</definedName>
    <definedName name="Term_2">Formulas!#REF!</definedName>
    <definedName name="Term_3">Formulas!#REF!</definedName>
    <definedName name="Term_4">Formulas!$D$2:$D$6</definedName>
    <definedName name="Term_5">Formulas!$J$24:$J$26</definedName>
    <definedName name="Term_6">Formulas!$D$2:$D$5</definedName>
    <definedName name="Winter">Formulas!$I$2:$I$3</definedName>
    <definedName name="YesNO">Formulas!$D$60:$D$61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2" l="1"/>
  <c r="K27" i="2"/>
  <c r="K26" i="2"/>
  <c r="K25" i="2"/>
  <c r="K24" i="2"/>
  <c r="H5" i="2" l="1"/>
  <c r="H4" i="2"/>
  <c r="H17" i="2"/>
  <c r="H18" i="2"/>
  <c r="H19" i="2"/>
  <c r="H20" i="2"/>
  <c r="H21" i="2"/>
  <c r="E22" i="2"/>
  <c r="H22" i="2" s="1"/>
  <c r="H23" i="2"/>
  <c r="H24" i="2"/>
  <c r="C23" i="1"/>
  <c r="H25" i="2"/>
  <c r="H26" i="2"/>
  <c r="H27" i="2"/>
  <c r="H28" i="2"/>
  <c r="H29" i="2"/>
  <c r="H30" i="2"/>
  <c r="H31" i="2"/>
  <c r="H32" i="2"/>
  <c r="K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D77" i="2"/>
  <c r="D78" i="2" s="1"/>
  <c r="D95" i="2"/>
  <c r="E15" i="1"/>
  <c r="E13" i="1" s="1"/>
  <c r="E18" i="1"/>
  <c r="C24" i="1"/>
  <c r="C25" i="1" s="1"/>
  <c r="C26" i="1"/>
  <c r="C32" i="1"/>
  <c r="C33" i="1"/>
  <c r="C34" i="1"/>
  <c r="C44" i="1"/>
  <c r="E44" i="1"/>
  <c r="R44" i="1"/>
  <c r="A109" i="1"/>
  <c r="F44" i="1" l="1"/>
  <c r="C35" i="1"/>
  <c r="C36" i="1" s="1"/>
  <c r="C39" i="1" s="1"/>
  <c r="C40" i="1" s="1"/>
  <c r="H44" i="1"/>
  <c r="E61" i="1" s="1"/>
  <c r="L44" i="1"/>
  <c r="D51" i="1" s="1"/>
  <c r="Q44" i="1"/>
  <c r="E67" i="1" l="1"/>
  <c r="E69" i="1"/>
  <c r="E58" i="1"/>
  <c r="E62" i="1"/>
  <c r="E68" i="1"/>
  <c r="E63" i="1"/>
  <c r="E60" i="1"/>
  <c r="E59" i="1"/>
  <c r="E66" i="1"/>
  <c r="E64" i="1"/>
  <c r="D69" i="2"/>
  <c r="G70" i="2"/>
  <c r="J44" i="1"/>
  <c r="G71" i="2" l="1"/>
  <c r="E57" i="1" s="1"/>
  <c r="G78" i="2"/>
  <c r="G72" i="2"/>
  <c r="G86" i="2" s="1"/>
  <c r="D70" i="2"/>
  <c r="D72" i="2"/>
  <c r="D71" i="2"/>
  <c r="D87" i="2" s="1"/>
  <c r="D88" i="2" s="1"/>
  <c r="D73" i="2"/>
  <c r="D74" i="2" s="1"/>
  <c r="B57" i="1" l="1"/>
  <c r="D75" i="2"/>
  <c r="D89" i="2" s="1"/>
  <c r="D90" i="2"/>
  <c r="B63" i="1" s="1"/>
  <c r="D81" i="2"/>
  <c r="D82" i="2"/>
  <c r="B60" i="1" s="1"/>
  <c r="G85" i="2"/>
  <c r="G75" i="2"/>
  <c r="E65" i="1" s="1"/>
  <c r="E70" i="1" s="1"/>
  <c r="E72" i="1" s="1"/>
  <c r="B66" i="1" l="1"/>
  <c r="B58" i="1"/>
  <c r="B59" i="1"/>
  <c r="B62" i="1"/>
  <c r="B61" i="1"/>
  <c r="B65" i="1"/>
  <c r="B64" i="1"/>
  <c r="B67" i="1" l="1"/>
  <c r="B72" i="1" s="1"/>
</calcChain>
</file>

<file path=xl/comments1.xml><?xml version="1.0" encoding="utf-8"?>
<comments xmlns="http://schemas.openxmlformats.org/spreadsheetml/2006/main">
  <authors>
    <author>RA Housing</author>
  </authors>
  <commentList>
    <comment ref="E38" authorId="0" shapeId="0">
      <text>
        <r>
          <rPr>
            <b/>
            <sz val="9"/>
            <color indexed="81"/>
            <rFont val="Tahoma"/>
            <family val="2"/>
          </rPr>
          <t>RA Housing:</t>
        </r>
        <r>
          <rPr>
            <sz val="9"/>
            <color indexed="81"/>
            <rFont val="Tahoma"/>
            <family val="2"/>
          </rPr>
          <t xml:space="preserve">
Renee, I changed those according to the Year Round Contract. </t>
        </r>
      </text>
    </comment>
  </commentList>
</comments>
</file>

<file path=xl/sharedStrings.xml><?xml version="1.0" encoding="utf-8"?>
<sst xmlns="http://schemas.openxmlformats.org/spreadsheetml/2006/main" count="222" uniqueCount="154">
  <si>
    <t xml:space="preserve">orientation fees (e.g. lab fees), parking fees, etc. </t>
  </si>
  <si>
    <t>a final cost as it does not include account changes which may occur to financial aid, enrollment status or other associated university permits,</t>
  </si>
  <si>
    <t xml:space="preserve">This calculator is intended to provide information on the cost of housing and is an estimate.  It should not be considered </t>
  </si>
  <si>
    <t>Note: Payments are due the first of the month and a $10 late fee will be assessed if not paid by the 10th of the month due.</t>
  </si>
  <si>
    <t>Total Tuition (if any) and Housing Fees</t>
  </si>
  <si>
    <t>Due May 1, 2018</t>
  </si>
  <si>
    <t>Due Date</t>
  </si>
  <si>
    <t>Amount Due</t>
  </si>
  <si>
    <t>Housing Payment Schedule</t>
  </si>
  <si>
    <t>Year Round Housing Payment Schedule</t>
  </si>
  <si>
    <t>Academic Year Housing Payment Schedule</t>
  </si>
  <si>
    <t xml:space="preserve">Outstanding Tuition Fees (if any) after Financial Aid has been applied </t>
  </si>
  <si>
    <t>Tuition Fees must be paid in accordance with the deadlines listed here http://www.csustan.edu/TuitionCosts/FeePaymentDeadlines.html to avoid the cancellation of registered courses</t>
  </si>
  <si>
    <t>Monthly Payments</t>
  </si>
  <si>
    <t>&gt; Select Payment Plan</t>
  </si>
  <si>
    <t>If this number is zero, no anticipated Housing payment is due</t>
  </si>
  <si>
    <t>Estimated Academic Year  Student Responsibility</t>
  </si>
  <si>
    <r>
      <t xml:space="preserve">*Do not include workstudy aid.  </t>
    </r>
    <r>
      <rPr>
        <b/>
        <sz val="12"/>
        <color indexed="10"/>
        <rFont val="Calibri"/>
        <family val="2"/>
      </rPr>
      <t>Only include grants and student and/or parent loans that you intend to accept.</t>
    </r>
  </si>
  <si>
    <r>
      <t xml:space="preserve">&gt; Enter  Anticipated Financial Aid Distribution - </t>
    </r>
    <r>
      <rPr>
        <b/>
        <i/>
        <sz val="12"/>
        <color indexed="8"/>
        <rFont val="Calibri"/>
        <family val="2"/>
      </rPr>
      <t>include any anticipated grants, scholarships and ACCEPTED loans on your Financial Aid Award Letter</t>
    </r>
  </si>
  <si>
    <t>Total Estimate of Tuition, Housing and Meals before Financial Aid</t>
  </si>
  <si>
    <t>VA Waiver Deduction</t>
  </si>
  <si>
    <t>Estimated loan fees</t>
  </si>
  <si>
    <t>Deposit Deferral Amount</t>
  </si>
  <si>
    <t>No</t>
  </si>
  <si>
    <t>Are you a Peer Academic Leader (PAL) for Housing?  If Yes, select PAL or LLC PAL</t>
  </si>
  <si>
    <t>Do you receive a VA Waiver?</t>
  </si>
  <si>
    <t>&gt;Are you accepting a student loan?</t>
  </si>
  <si>
    <t>&gt;Are you submitting a deposit deferral form</t>
  </si>
  <si>
    <t>Meal Fees Based on Meal Plan Selection</t>
  </si>
  <si>
    <t>Housing Fees Based on Room Type Selection</t>
  </si>
  <si>
    <t>Estimated Tuition Fees Before Financial Aid</t>
  </si>
  <si>
    <t>&gt; Select Meal Plan</t>
  </si>
  <si>
    <t>Freshman Triple Suite</t>
  </si>
  <si>
    <t>&gt; Select Room Type</t>
  </si>
  <si>
    <t>Upperclass</t>
  </si>
  <si>
    <t>&gt; Select Class Level</t>
  </si>
  <si>
    <t>Please select 'Year Round Contract' as your Room Type</t>
  </si>
  <si>
    <t>&gt; Select Term</t>
  </si>
  <si>
    <t>Important - Once you have completed the Housing Calculator, print out a copy for your records (in the event your financial aid award is adjusted)</t>
  </si>
  <si>
    <t>****THIS CALCULATION IS BASED ON FULL-TIME ENROLLMENT STATUS****</t>
  </si>
  <si>
    <t>Note: This calculator is an ESTIMATE ONLY, and is intended to aid in the estimation and planning of student housing affordability</t>
  </si>
  <si>
    <t>Due July 15, 2011</t>
  </si>
  <si>
    <t>Due July 1, 2011</t>
  </si>
  <si>
    <t>Due May 1, 2012*</t>
  </si>
  <si>
    <t>101</t>
  </si>
  <si>
    <t>105</t>
  </si>
  <si>
    <t>25</t>
  </si>
  <si>
    <t>21</t>
  </si>
  <si>
    <t>104</t>
  </si>
  <si>
    <t>15</t>
  </si>
  <si>
    <t>24</t>
  </si>
  <si>
    <t>11</t>
  </si>
  <si>
    <t>14</t>
  </si>
  <si>
    <t>YR</t>
  </si>
  <si>
    <t>AY</t>
  </si>
  <si>
    <t>Yes</t>
  </si>
  <si>
    <t>PAL</t>
  </si>
  <si>
    <t>LLC PAL</t>
  </si>
  <si>
    <t>Academic Year 2014-2015Upperclass Apartment Village I</t>
  </si>
  <si>
    <t>Academic Year 2014-2015 Peer Academic Leader (PAL)Upperclass Apartment Village III</t>
  </si>
  <si>
    <t>Academic Year 2014-2015 Peer Academic Leader (PAL)Upperclass Apartment Village II</t>
  </si>
  <si>
    <t>Academic Year 2014-2015 Peer Academic Leader (PAL)Upperclass Apartment Village I</t>
  </si>
  <si>
    <t>Academic Year 2014-2015 Peer Academic Leader (PAL)Upperclass Single Suite (PAL Only)</t>
  </si>
  <si>
    <t>Spring 2015Upperclass double deluxe</t>
  </si>
  <si>
    <t>Intersession/Spring 20141Upperclass double deluxe</t>
  </si>
  <si>
    <t>Spring 2016Freshman double deluxe</t>
  </si>
  <si>
    <t>Intersession/Spring 2015Freshman double deluxe</t>
  </si>
  <si>
    <t xml:space="preserve"> Freshman Village I Year Round ContractYear Round Contract</t>
  </si>
  <si>
    <t>Year Round Contract B New ResidentsYear Round Contract</t>
  </si>
  <si>
    <t>Year Round Contract A Current residentsYear Round Contract</t>
  </si>
  <si>
    <t>Spring 2015Upperclass Apartment Village III</t>
  </si>
  <si>
    <t>Spring 2015Upperclass Apartment Village II</t>
  </si>
  <si>
    <t>Spring 2015Freshman Apartment Village II</t>
  </si>
  <si>
    <t>Spring 2015Freshman Apartment Village I</t>
  </si>
  <si>
    <t>Spring 2015Freshman Single</t>
  </si>
  <si>
    <t>Spring 2015Freshman Double</t>
  </si>
  <si>
    <t>Spring 2015Freshman Triple</t>
  </si>
  <si>
    <t>Intersession/Spring 2015Upperclass Apartment Village III</t>
  </si>
  <si>
    <t>Intersession/Spring 2015Upperclass Apartment Village II</t>
  </si>
  <si>
    <t xml:space="preserve"> Freshman Village I Year Round Contract</t>
  </si>
  <si>
    <t>Intersession/Spring 2015Freshman Apartment Village II</t>
  </si>
  <si>
    <t xml:space="preserve">A single room apartment is a 4 bedroom apartment where 4 roommates each have their own bedroom, but all 4 share a bathroom, kitchen and living room.  </t>
  </si>
  <si>
    <t>Upperclass Apartment Village I</t>
  </si>
  <si>
    <t>Academic Year 2017-2018 Peer Academic Leader (PAL)</t>
  </si>
  <si>
    <t>Intersession/Spring 2015Freshman Apartment Village I</t>
  </si>
  <si>
    <t>A single room is a 4 bedroom suite where 4 roommates each have their own bedroom, but all 4 share a bathroom and living room.  The suite does not have a kitchen, but does come equipped with a mini-refrigerator and a microwave.</t>
  </si>
  <si>
    <t>Upperclass Single Suite (PAL Only)</t>
  </si>
  <si>
    <t>Year Round Contract B New Residents</t>
  </si>
  <si>
    <t>Intersession/Spring 2015Freshman Single</t>
  </si>
  <si>
    <t>Year Round Contract</t>
  </si>
  <si>
    <t>Year Round Contract A Current Residents</t>
  </si>
  <si>
    <t>Intersession/Spring 2015Freshman Double</t>
  </si>
  <si>
    <t>Intersession/Spring 2015Freshman Triple</t>
  </si>
  <si>
    <t>Upperclass Apartment Village III</t>
  </si>
  <si>
    <t>Tuition Costs</t>
  </si>
  <si>
    <t>Upperclass Apartment Village II</t>
  </si>
  <si>
    <t>Freshman Apartment Village II</t>
  </si>
  <si>
    <t xml:space="preserve">A double deluxe is a four bedroom apartment where 2 people per bedroom share 3 of the bedrooms and the 4th bedroom serves as a group study space.  All double deluxe units are apartments in the Village II complex and include a common bathroom, living room and kitchen.  </t>
  </si>
  <si>
    <t>Upperclass Double Deluxe</t>
  </si>
  <si>
    <t>Freshman Apartment Village I</t>
  </si>
  <si>
    <t>Freshman Single Suite</t>
  </si>
  <si>
    <t>Freshman Double Deluxe</t>
  </si>
  <si>
    <t>A double room is a 2 bedroom suite where 2 roommates share one room (double room) and 3 roommates share the other room (triple room). All 5 roommates share a bathroom and living room.  The suite does not have a ktichen, but does come equipped with a mini-refrigerator and microwave.</t>
  </si>
  <si>
    <t>Freshman Double</t>
  </si>
  <si>
    <t>Amount</t>
  </si>
  <si>
    <t>A triple room is a 2 bedroom suite where 2 roommates share one room (double room) and 3 roommates share the other room (triple room). All 5 roommates share a bathroom and living room.  The suite does not have a ktichen, but does come equipped with a mini-refrigerator and microwave.</t>
  </si>
  <si>
    <t>Select Room Type</t>
  </si>
  <si>
    <t>2 Payments</t>
  </si>
  <si>
    <t>1 Payment</t>
  </si>
  <si>
    <t xml:space="preserve">Monthly payment due from August 1 2010-April 1 2011. </t>
  </si>
  <si>
    <t xml:space="preserve">Per payment.  1st payment due August 1, 2010, 2nd payment due January 1, 2011.  </t>
  </si>
  <si>
    <t>Freshman</t>
  </si>
  <si>
    <t>Year Round Contract A Current residents</t>
  </si>
  <si>
    <t>Payment in full due August 1, 2010</t>
  </si>
  <si>
    <t>Select Payment Plan</t>
  </si>
  <si>
    <t>Select Intersession Term</t>
  </si>
  <si>
    <t>Meal Plan</t>
  </si>
  <si>
    <t>Select Meal Plan</t>
  </si>
  <si>
    <t>Select Class Level</t>
  </si>
  <si>
    <t>Select Term</t>
  </si>
  <si>
    <t xml:space="preserve">2018-19 Housing Fees Calculator </t>
  </si>
  <si>
    <t>Due July 18, 2018</t>
  </si>
  <si>
    <t>Due August 1, 2018</t>
  </si>
  <si>
    <t>Due September 1, 2018</t>
  </si>
  <si>
    <t>Due October 1, 2018</t>
  </si>
  <si>
    <t>Due November, 1, 2018</t>
  </si>
  <si>
    <t>Due December 1, 2018</t>
  </si>
  <si>
    <t>Due January 1, 2019</t>
  </si>
  <si>
    <t>Due February 1, 2019</t>
  </si>
  <si>
    <t>Due March 1, 2019</t>
  </si>
  <si>
    <t>Due April 1, 2019</t>
  </si>
  <si>
    <t>Due May 1, 2019</t>
  </si>
  <si>
    <t>Due June 1, 2018</t>
  </si>
  <si>
    <t>Due July 1, 2018</t>
  </si>
  <si>
    <t>Academic Year 2018-2019</t>
  </si>
  <si>
    <t>Academic Year 2018-2019Freshman Triple Suite</t>
  </si>
  <si>
    <t>Academic Year 2018-2019Freshman Double Suite</t>
  </si>
  <si>
    <t>Academic Year 2018-2019Freshman Single Suite</t>
  </si>
  <si>
    <t>Academic Year 2018-2019Freshman Apartment Village I</t>
  </si>
  <si>
    <t>Academic Year 2018-2019Freshman Apartment Village II</t>
  </si>
  <si>
    <t>Academic Year 2018-2019Upperclass Apartment Village II</t>
  </si>
  <si>
    <t>Academic Year 2018-2019Upperclass Apartment Village III</t>
  </si>
  <si>
    <t>Academic Year 2018-2019Freshman double deluxe</t>
  </si>
  <si>
    <t>Intersession/Spring 2019</t>
  </si>
  <si>
    <t>Spring 2019</t>
  </si>
  <si>
    <t>Freshman Warrior Gold - $1,817.69 Flex, 160 Blocks</t>
  </si>
  <si>
    <t>Freshman Warrior Platinum-  $1,699.52 Flex, 200 Blocks</t>
  </si>
  <si>
    <t>Upperclass Warrior Gold - $1,817.69 Flex, 160 Blocks</t>
  </si>
  <si>
    <t>Upperclass  Warrior Platinum-  $1,699.52 Flex, 200 Blocks</t>
  </si>
  <si>
    <t>Upperclass Warrior Silver - $2,400  Flex Dollars</t>
  </si>
  <si>
    <t>Upperclass Warrior Bronze - $1,600 Flex Dollars</t>
  </si>
  <si>
    <t>Upperclass Warrior Snack -  $1,100 Flex Dollars</t>
  </si>
  <si>
    <t>PAL Compensation Adjustment</t>
  </si>
  <si>
    <t>Academic Year 2018-2019Upperclass double deluxe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</si>
</sst>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  <font>
      <b/>
      <sz val="11"/>
      <name val="Calibri"/>
      <family val="2"/>
    </font>
    <font>
      <b/>
      <i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10"/>
      <name val="Calibri"/>
      <family val="2"/>
    </font>
    <font>
      <b/>
      <i/>
      <sz val="12"/>
      <color indexed="8"/>
      <name val="Calibri"/>
      <family val="2"/>
    </font>
    <font>
      <b/>
      <sz val="14"/>
      <name val="Georgia"/>
      <family val="1"/>
    </font>
    <font>
      <b/>
      <sz val="10"/>
      <name val="Georgia"/>
      <family val="1"/>
    </font>
    <font>
      <b/>
      <i/>
      <sz val="12"/>
      <color theme="4" tint="-0.49998474074526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17">
    <xf numFmtId="0" fontId="0" fillId="0" borderId="0" xfId="0"/>
    <xf numFmtId="0" fontId="4" fillId="0" borderId="0" xfId="0" applyFont="1" applyProtection="1">
      <protection locked="0"/>
    </xf>
    <xf numFmtId="14" fontId="4" fillId="0" borderId="0" xfId="0" applyNumberFormat="1" applyFont="1" applyProtection="1">
      <protection locked="0"/>
    </xf>
    <xf numFmtId="43" fontId="4" fillId="0" borderId="0" xfId="0" applyNumberFormat="1" applyFont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5" fillId="0" borderId="0" xfId="0" applyFont="1" applyBorder="1" applyProtection="1">
      <protection locked="0"/>
    </xf>
    <xf numFmtId="43" fontId="5" fillId="0" borderId="12" xfId="0" applyNumberFormat="1" applyFont="1" applyBorder="1" applyProtection="1"/>
    <xf numFmtId="43" fontId="6" fillId="0" borderId="13" xfId="0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43" fontId="6" fillId="0" borderId="14" xfId="0" applyNumberFormat="1" applyFont="1" applyBorder="1" applyProtection="1"/>
    <xf numFmtId="0" fontId="4" fillId="0" borderId="15" xfId="0" applyFont="1" applyBorder="1" applyAlignment="1" applyProtection="1">
      <alignment horizontal="left" wrapText="1"/>
      <protection locked="0"/>
    </xf>
    <xf numFmtId="43" fontId="4" fillId="0" borderId="16" xfId="1" applyFont="1" applyBorder="1" applyAlignment="1" applyProtection="1">
      <alignment horizontal="right"/>
    </xf>
    <xf numFmtId="43" fontId="4" fillId="0" borderId="0" xfId="0" applyNumberFormat="1" applyFont="1" applyBorder="1" applyProtection="1">
      <protection locked="0"/>
    </xf>
    <xf numFmtId="0" fontId="4" fillId="0" borderId="17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43" fontId="6" fillId="0" borderId="14" xfId="1" applyFont="1" applyBorder="1" applyProtection="1"/>
    <xf numFmtId="43" fontId="4" fillId="0" borderId="18" xfId="1" applyFont="1" applyBorder="1" applyAlignment="1" applyProtection="1">
      <alignment horizontal="right"/>
    </xf>
    <xf numFmtId="0" fontId="4" fillId="0" borderId="0" xfId="0" applyFont="1" applyFill="1" applyProtection="1">
      <protection locked="0"/>
    </xf>
    <xf numFmtId="0" fontId="4" fillId="0" borderId="19" xfId="0" applyFont="1" applyBorder="1" applyAlignment="1" applyProtection="1">
      <alignment horizontal="left" wrapText="1"/>
      <protection locked="0"/>
    </xf>
    <xf numFmtId="44" fontId="7" fillId="2" borderId="1" xfId="2" applyFont="1" applyFill="1" applyBorder="1" applyAlignment="1">
      <alignment horizontal="center" wrapText="1"/>
    </xf>
    <xf numFmtId="44" fontId="7" fillId="2" borderId="20" xfId="2" applyFont="1" applyFill="1" applyBorder="1" applyAlignment="1">
      <alignment horizont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44" fontId="7" fillId="2" borderId="6" xfId="2" applyFont="1" applyFill="1" applyBorder="1" applyAlignment="1">
      <alignment horizontal="center" wrapText="1"/>
    </xf>
    <xf numFmtId="44" fontId="7" fillId="2" borderId="22" xfId="2" applyFont="1" applyFill="1" applyBorder="1" applyAlignment="1">
      <alignment horizontal="center" wrapText="1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protection locked="0"/>
    </xf>
    <xf numFmtId="43" fontId="4" fillId="0" borderId="0" xfId="1" applyFo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43" fontId="4" fillId="0" borderId="0" xfId="0" applyNumberFormat="1" applyFont="1" applyFill="1" applyProtection="1">
      <protection locked="0"/>
    </xf>
    <xf numFmtId="43" fontId="6" fillId="0" borderId="0" xfId="1" applyFont="1" applyFill="1" applyBorder="1" applyAlignment="1" applyProtection="1">
      <alignment horizontal="right"/>
    </xf>
    <xf numFmtId="44" fontId="7" fillId="2" borderId="24" xfId="2" applyFont="1" applyFill="1" applyBorder="1" applyAlignment="1">
      <alignment horizontal="center" wrapText="1"/>
    </xf>
    <xf numFmtId="0" fontId="10" fillId="0" borderId="0" xfId="0" applyFont="1" applyAlignment="1" applyProtection="1">
      <alignment wrapText="1"/>
      <protection locked="0"/>
    </xf>
    <xf numFmtId="43" fontId="4" fillId="0" borderId="0" xfId="1" applyFont="1" applyFill="1" applyProtection="1">
      <protection locked="0"/>
    </xf>
    <xf numFmtId="0" fontId="6" fillId="0" borderId="0" xfId="0" applyFont="1" applyAlignment="1" applyProtection="1">
      <alignment wrapText="1"/>
      <protection locked="0"/>
    </xf>
    <xf numFmtId="43" fontId="4" fillId="0" borderId="23" xfId="1" applyFont="1" applyBorder="1" applyProtection="1">
      <protection locked="0"/>
    </xf>
    <xf numFmtId="0" fontId="10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43" fontId="6" fillId="0" borderId="0" xfId="1" applyFont="1" applyFill="1" applyBorder="1" applyProtection="1"/>
    <xf numFmtId="43" fontId="4" fillId="0" borderId="0" xfId="1" applyFont="1" applyProtection="1"/>
    <xf numFmtId="43" fontId="4" fillId="0" borderId="0" xfId="1" applyFont="1" applyFill="1" applyProtection="1"/>
    <xf numFmtId="0" fontId="4" fillId="0" borderId="0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protection locked="0"/>
    </xf>
    <xf numFmtId="43" fontId="6" fillId="0" borderId="0" xfId="1" applyFont="1" applyProtection="1"/>
    <xf numFmtId="0" fontId="6" fillId="0" borderId="0" xfId="0" applyFont="1" applyFill="1" applyProtection="1">
      <protection locked="0"/>
    </xf>
    <xf numFmtId="0" fontId="13" fillId="2" borderId="24" xfId="3" applyFont="1" applyBorder="1" applyAlignment="1">
      <alignment horizontal="center" wrapText="1"/>
    </xf>
    <xf numFmtId="0" fontId="13" fillId="0" borderId="24" xfId="3" applyFont="1" applyFill="1" applyBorder="1" applyAlignment="1">
      <alignment horizontal="center" wrapText="1"/>
    </xf>
    <xf numFmtId="44" fontId="14" fillId="0" borderId="24" xfId="2" applyFont="1" applyFill="1" applyBorder="1" applyAlignment="1">
      <alignment horizontal="center" wrapText="1"/>
    </xf>
    <xf numFmtId="0" fontId="7" fillId="0" borderId="24" xfId="3" applyFont="1" applyFill="1" applyBorder="1" applyAlignment="1">
      <alignment horizontal="center" wrapText="1"/>
    </xf>
    <xf numFmtId="0" fontId="4" fillId="0" borderId="23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16" fillId="0" borderId="0" xfId="0" applyFont="1" applyProtection="1"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quotePrefix="1"/>
    <xf numFmtId="43" fontId="0" fillId="0" borderId="0" xfId="0" applyNumberFormat="1"/>
    <xf numFmtId="43" fontId="1" fillId="0" borderId="0" xfId="1" quotePrefix="1" applyFont="1"/>
    <xf numFmtId="43" fontId="1" fillId="0" borderId="0" xfId="1" applyFont="1"/>
    <xf numFmtId="2" fontId="0" fillId="0" borderId="0" xfId="0" applyNumberFormat="1"/>
    <xf numFmtId="43" fontId="1" fillId="0" borderId="0" xfId="1" applyNumberFormat="1" applyFont="1"/>
    <xf numFmtId="164" fontId="0" fillId="0" borderId="0" xfId="0" applyNumberFormat="1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21" fillId="3" borderId="0" xfId="0" applyFont="1" applyFill="1"/>
    <xf numFmtId="44" fontId="0" fillId="0" borderId="0" xfId="0" applyNumberFormat="1"/>
    <xf numFmtId="44" fontId="1" fillId="4" borderId="0" xfId="2" applyFont="1" applyFill="1"/>
    <xf numFmtId="0" fontId="0" fillId="0" borderId="0" xfId="0" applyFill="1" applyAlignment="1">
      <alignment horizontal="left"/>
    </xf>
    <xf numFmtId="1" fontId="0" fillId="0" borderId="0" xfId="0" applyNumberFormat="1"/>
    <xf numFmtId="0" fontId="3" fillId="0" borderId="0" xfId="0" applyFont="1"/>
    <xf numFmtId="44" fontId="1" fillId="0" borderId="0" xfId="2" applyFont="1"/>
    <xf numFmtId="44" fontId="1" fillId="5" borderId="0" xfId="2" applyFont="1" applyFill="1"/>
    <xf numFmtId="0" fontId="0" fillId="0" borderId="0" xfId="0" applyNumberFormat="1"/>
    <xf numFmtId="0" fontId="0" fillId="0" borderId="0" xfId="0" applyFont="1"/>
    <xf numFmtId="0" fontId="4" fillId="0" borderId="11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5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4" xfId="0" applyFont="1" applyBorder="1" applyAlignment="1" applyProtection="1">
      <alignment horizontal="left" wrapText="1"/>
      <protection locked="0"/>
    </xf>
    <xf numFmtId="0" fontId="8" fillId="2" borderId="24" xfId="3" applyFont="1" applyBorder="1" applyAlignment="1">
      <alignment horizontal="left" wrapText="1"/>
    </xf>
    <xf numFmtId="0" fontId="5" fillId="0" borderId="0" xfId="0" applyFont="1" applyAlignment="1" applyProtection="1">
      <alignment horizontal="left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44" fontId="7" fillId="2" borderId="8" xfId="2" applyFont="1" applyFill="1" applyBorder="1" applyAlignment="1">
      <alignment horizontal="center" wrapText="1"/>
    </xf>
    <xf numFmtId="44" fontId="7" fillId="2" borderId="6" xfId="2" applyFont="1" applyFill="1" applyBorder="1" applyAlignment="1">
      <alignment horizontal="center" wrapText="1"/>
    </xf>
    <xf numFmtId="44" fontId="7" fillId="2" borderId="3" xfId="2" applyFont="1" applyFill="1" applyBorder="1" applyAlignment="1">
      <alignment horizontal="center" wrapText="1"/>
    </xf>
    <xf numFmtId="44" fontId="7" fillId="2" borderId="1" xfId="2" applyFont="1" applyFill="1" applyBorder="1" applyAlignment="1">
      <alignment horizontal="center" wrapText="1"/>
    </xf>
    <xf numFmtId="44" fontId="8" fillId="2" borderId="22" xfId="2" applyFont="1" applyFill="1" applyBorder="1" applyAlignment="1">
      <alignment horizontal="center" wrapText="1"/>
    </xf>
    <xf numFmtId="44" fontId="8" fillId="2" borderId="20" xfId="2" applyFont="1" applyFill="1" applyBorder="1" applyAlignment="1">
      <alignment horizontal="center" wrapText="1"/>
    </xf>
    <xf numFmtId="44" fontId="7" fillId="2" borderId="22" xfId="2" applyFont="1" applyFill="1" applyBorder="1" applyAlignment="1">
      <alignment horizontal="center" wrapText="1"/>
    </xf>
    <xf numFmtId="44" fontId="7" fillId="2" borderId="21" xfId="2" applyFont="1" applyFill="1" applyBorder="1" applyAlignment="1">
      <alignment horizontal="center" wrapText="1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44" fontId="7" fillId="2" borderId="4" xfId="2" applyFont="1" applyFill="1" applyBorder="1" applyAlignment="1">
      <alignment horizontal="center" wrapText="1"/>
    </xf>
    <xf numFmtId="0" fontId="19" fillId="0" borderId="0" xfId="0" applyFont="1" applyAlignment="1" applyProtection="1">
      <alignment horizontal="center" vertical="top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4" fillId="2" borderId="11" xfId="3" applyFont="1" applyBorder="1" applyAlignment="1">
      <alignment horizontal="center" wrapText="1"/>
    </xf>
    <xf numFmtId="0" fontId="14" fillId="2" borderId="10" xfId="3" applyFont="1" applyBorder="1" applyAlignment="1">
      <alignment horizontal="center" wrapText="1"/>
    </xf>
    <xf numFmtId="0" fontId="14" fillId="2" borderId="9" xfId="3" applyFont="1" applyBorder="1" applyAlignment="1">
      <alignment horizontal="center" wrapText="1"/>
    </xf>
  </cellXfs>
  <cellStyles count="4">
    <cellStyle name="Comma" xfId="1" builtinId="3"/>
    <cellStyle name="Currency" xfId="2" builtinId="4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990600</xdr:colOff>
      <xdr:row>0</xdr:row>
      <xdr:rowOff>0</xdr:rowOff>
    </xdr:from>
    <xdr:ext cx="3219450" cy="1466850"/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0"/>
          <a:ext cx="32194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9"/>
  <sheetViews>
    <sheetView tabSelected="1" workbookViewId="0">
      <selection activeCell="A18" sqref="A18"/>
    </sheetView>
  </sheetViews>
  <sheetFormatPr defaultRowHeight="15.75" x14ac:dyDescent="0.25"/>
  <cols>
    <col min="1" max="1" width="45.42578125" style="1" customWidth="1"/>
    <col min="2" max="2" width="19.85546875" style="1" customWidth="1"/>
    <col min="3" max="3" width="54.28515625" style="1" customWidth="1"/>
    <col min="4" max="4" width="11" style="1" customWidth="1"/>
    <col min="5" max="5" width="16.28515625" style="1" bestFit="1" customWidth="1"/>
    <col min="6" max="6" width="43" style="1" customWidth="1"/>
    <col min="7" max="11" width="9.140625" style="1"/>
    <col min="12" max="12" width="9.5703125" style="1" bestFit="1" customWidth="1"/>
    <col min="13" max="16384" width="9.140625" style="1"/>
  </cols>
  <sheetData>
    <row r="1" spans="1:7" x14ac:dyDescent="0.25">
      <c r="G1" s="30"/>
    </row>
    <row r="2" spans="1:7" x14ac:dyDescent="0.25">
      <c r="G2" s="30"/>
    </row>
    <row r="3" spans="1:7" x14ac:dyDescent="0.25">
      <c r="G3" s="30"/>
    </row>
    <row r="4" spans="1:7" x14ac:dyDescent="0.25">
      <c r="G4" s="30"/>
    </row>
    <row r="5" spans="1:7" x14ac:dyDescent="0.25">
      <c r="G5" s="30"/>
    </row>
    <row r="6" spans="1:7" ht="18" customHeight="1" x14ac:dyDescent="0.25">
      <c r="A6" s="111"/>
      <c r="B6" s="111"/>
      <c r="C6" s="111"/>
      <c r="D6" s="111"/>
      <c r="E6" s="111"/>
      <c r="F6" s="111"/>
      <c r="G6" s="58"/>
    </row>
    <row r="7" spans="1:7" ht="15.75" customHeight="1" x14ac:dyDescent="0.25">
      <c r="A7" s="82"/>
      <c r="B7" s="82"/>
      <c r="C7" s="82"/>
      <c r="D7" s="82"/>
      <c r="E7" s="82"/>
      <c r="F7" s="82"/>
      <c r="G7" s="58"/>
    </row>
    <row r="8" spans="1:7" ht="23.25" x14ac:dyDescent="0.35">
      <c r="A8" s="112" t="s">
        <v>120</v>
      </c>
      <c r="B8" s="112"/>
      <c r="C8" s="112"/>
      <c r="D8" s="112"/>
      <c r="E8" s="112"/>
      <c r="F8" s="112"/>
    </row>
    <row r="9" spans="1:7" x14ac:dyDescent="0.25">
      <c r="A9" s="113" t="s">
        <v>40</v>
      </c>
      <c r="B9" s="113"/>
      <c r="C9" s="113"/>
      <c r="D9" s="113"/>
      <c r="E9" s="113"/>
      <c r="F9" s="113"/>
    </row>
    <row r="10" spans="1:7" ht="16.5" thickBot="1" x14ac:dyDescent="0.3">
      <c r="A10" s="113" t="s">
        <v>39</v>
      </c>
      <c r="B10" s="113"/>
      <c r="C10" s="113"/>
      <c r="D10" s="113"/>
      <c r="E10" s="113"/>
      <c r="F10" s="113"/>
    </row>
    <row r="11" spans="1:7" ht="17.25" customHeight="1" thickBot="1" x14ac:dyDescent="0.3">
      <c r="A11" s="114" t="s">
        <v>38</v>
      </c>
      <c r="B11" s="115"/>
      <c r="C11" s="115"/>
      <c r="D11" s="115"/>
      <c r="E11" s="115"/>
      <c r="F11" s="116"/>
    </row>
    <row r="12" spans="1:7" ht="16.5" thickBot="1" x14ac:dyDescent="0.3"/>
    <row r="13" spans="1:7" ht="16.5" thickBot="1" x14ac:dyDescent="0.3">
      <c r="A13" s="33" t="s">
        <v>37</v>
      </c>
      <c r="B13" s="33"/>
      <c r="C13" s="32" t="s">
        <v>134</v>
      </c>
      <c r="D13" s="46"/>
      <c r="E13" s="57" t="str">
        <f>IF(E15=4,F15,"")</f>
        <v/>
      </c>
    </row>
    <row r="14" spans="1:7" ht="16.5" thickBot="1" x14ac:dyDescent="0.3">
      <c r="A14" s="33"/>
      <c r="B14" s="33"/>
      <c r="C14" s="55"/>
      <c r="D14" s="55"/>
      <c r="E14" s="55"/>
    </row>
    <row r="15" spans="1:7" ht="32.25" hidden="1" thickBot="1" x14ac:dyDescent="0.3">
      <c r="A15" s="33"/>
      <c r="B15" s="33"/>
      <c r="C15" s="55"/>
      <c r="D15" s="55"/>
      <c r="E15" s="55">
        <f>VLOOKUP(C13,Formulas!J24:M28,4,M28)</f>
        <v>1</v>
      </c>
      <c r="F15" s="56" t="s">
        <v>36</v>
      </c>
    </row>
    <row r="16" spans="1:7" ht="16.5" thickBot="1" x14ac:dyDescent="0.3">
      <c r="A16" s="33" t="s">
        <v>35</v>
      </c>
      <c r="B16" s="33"/>
      <c r="C16" s="32" t="s">
        <v>34</v>
      </c>
      <c r="D16" s="46"/>
      <c r="E16" s="46"/>
      <c r="F16" s="55"/>
    </row>
    <row r="17" spans="1:8" ht="16.5" thickBot="1" x14ac:dyDescent="0.3">
      <c r="A17" s="33"/>
      <c r="B17" s="33"/>
      <c r="C17" s="55"/>
      <c r="D17" s="55"/>
      <c r="E17" s="55"/>
    </row>
    <row r="18" spans="1:8" ht="64.5" customHeight="1" thickBot="1" x14ac:dyDescent="0.3">
      <c r="A18" s="33" t="s">
        <v>33</v>
      </c>
      <c r="B18" s="33"/>
      <c r="C18" s="80" t="s">
        <v>98</v>
      </c>
      <c r="D18" s="81"/>
      <c r="E18" s="84" t="str">
        <f>VLOOKUP(C18,Formulas!T15:U27,2,FALSE)</f>
        <v xml:space="preserve">A double deluxe is a four bedroom apartment where 2 people per bedroom share 3 of the bedrooms and the 4th bedroom serves as a group study space.  All double deluxe units are apartments in the Village II complex and include a common bathroom, living room and kitchen.  </v>
      </c>
      <c r="F18" s="84"/>
      <c r="G18" s="84"/>
      <c r="H18" s="84"/>
    </row>
    <row r="19" spans="1:8" ht="16.5" thickBot="1" x14ac:dyDescent="0.3">
      <c r="A19" s="33"/>
      <c r="B19" s="33"/>
      <c r="C19" s="55"/>
      <c r="D19" s="55"/>
    </row>
    <row r="20" spans="1:8" ht="17.25" customHeight="1" thickBot="1" x14ac:dyDescent="0.3">
      <c r="A20" s="33" t="s">
        <v>31</v>
      </c>
      <c r="B20" s="33"/>
      <c r="C20" s="54" t="s">
        <v>147</v>
      </c>
      <c r="D20" s="46"/>
    </row>
    <row r="21" spans="1:8" ht="11.25" customHeight="1" x14ac:dyDescent="0.25">
      <c r="A21" s="33"/>
      <c r="B21" s="33"/>
    </row>
    <row r="22" spans="1:8" ht="14.25" customHeight="1" x14ac:dyDescent="0.25">
      <c r="A22" s="33"/>
      <c r="B22" s="33"/>
      <c r="C22" s="46"/>
      <c r="D22" s="46"/>
      <c r="E22" s="37"/>
    </row>
    <row r="23" spans="1:8" ht="27" customHeight="1" x14ac:dyDescent="0.3">
      <c r="A23" s="88" t="s">
        <v>30</v>
      </c>
      <c r="B23" s="88"/>
      <c r="C23" s="36">
        <f>VLOOKUP(C13,Formulas!J24:K28,2,FALSE)</f>
        <v>7042</v>
      </c>
      <c r="D23" s="50"/>
      <c r="E23" s="50"/>
      <c r="F23" s="50"/>
      <c r="G23" s="50"/>
    </row>
    <row r="24" spans="1:8" ht="36" hidden="1" customHeight="1" x14ac:dyDescent="0.3">
      <c r="A24" s="53"/>
      <c r="B24" s="53"/>
      <c r="C24" s="52" t="str">
        <f>CONCATENATE(C13,C18)</f>
        <v>Academic Year 2018-2019Upperclass Double Deluxe</v>
      </c>
      <c r="D24" s="51"/>
      <c r="E24" s="51"/>
      <c r="F24" s="51"/>
      <c r="G24" s="51"/>
    </row>
    <row r="25" spans="1:8" ht="18" customHeight="1" x14ac:dyDescent="0.3">
      <c r="A25" s="88" t="s">
        <v>29</v>
      </c>
      <c r="B25" s="88"/>
      <c r="C25" s="36">
        <f>VLOOKUP(C24,Formulas!$D$17:$H$56,5,FALSE)</f>
        <v>6702</v>
      </c>
      <c r="D25" s="50"/>
      <c r="E25" s="50"/>
      <c r="F25" s="50"/>
      <c r="G25" s="50"/>
    </row>
    <row r="26" spans="1:8" ht="18" customHeight="1" x14ac:dyDescent="0.3">
      <c r="A26" s="88" t="s">
        <v>28</v>
      </c>
      <c r="B26" s="88"/>
      <c r="C26" s="36">
        <f>VLOOKUP(C20,Formulas!G2:H11,2,FALSE)</f>
        <v>3476.09</v>
      </c>
      <c r="D26" s="50"/>
      <c r="E26" s="50"/>
      <c r="F26" s="50"/>
      <c r="G26" s="50"/>
    </row>
    <row r="27" spans="1:8" ht="16.5" thickBot="1" x14ac:dyDescent="0.3">
      <c r="A27" s="49"/>
      <c r="B27" s="49"/>
      <c r="C27" s="48"/>
      <c r="D27" s="48"/>
      <c r="E27" s="41"/>
    </row>
    <row r="28" spans="1:8" ht="36" customHeight="1" thickBot="1" x14ac:dyDescent="0.3">
      <c r="A28" s="42" t="s">
        <v>27</v>
      </c>
      <c r="B28" s="47"/>
      <c r="C28" s="32" t="s">
        <v>55</v>
      </c>
      <c r="D28" s="46"/>
      <c r="E28" s="41"/>
    </row>
    <row r="29" spans="1:8" ht="16.5" thickBot="1" x14ac:dyDescent="0.3">
      <c r="A29" s="42" t="s">
        <v>26</v>
      </c>
      <c r="B29" s="39"/>
      <c r="C29" s="32" t="s">
        <v>23</v>
      </c>
      <c r="D29" s="46"/>
      <c r="E29" s="41"/>
    </row>
    <row r="30" spans="1:8" ht="16.5" thickBot="1" x14ac:dyDescent="0.3">
      <c r="A30" s="42" t="s">
        <v>25</v>
      </c>
      <c r="B30" s="39"/>
      <c r="C30" s="32" t="s">
        <v>23</v>
      </c>
      <c r="D30" s="46"/>
      <c r="E30" s="41"/>
    </row>
    <row r="31" spans="1:8" ht="32.25" thickBot="1" x14ac:dyDescent="0.3">
      <c r="A31" s="39" t="s">
        <v>24</v>
      </c>
      <c r="B31" s="39"/>
      <c r="C31" s="32" t="s">
        <v>23</v>
      </c>
      <c r="D31" s="46"/>
      <c r="E31" s="41"/>
    </row>
    <row r="32" spans="1:8" x14ac:dyDescent="0.25">
      <c r="A32" s="42" t="s">
        <v>22</v>
      </c>
      <c r="B32" s="39"/>
      <c r="C32" s="44">
        <f>IF(C28="yes",250,0)</f>
        <v>250</v>
      </c>
      <c r="D32" s="44"/>
      <c r="E32" s="41"/>
    </row>
    <row r="33" spans="1:18" x14ac:dyDescent="0.25">
      <c r="A33" s="42" t="s">
        <v>21</v>
      </c>
      <c r="B33" s="39"/>
      <c r="C33" s="44">
        <f>IF(C29="yes",100,0)</f>
        <v>0</v>
      </c>
      <c r="D33" s="45"/>
      <c r="E33" s="41"/>
    </row>
    <row r="34" spans="1:18" x14ac:dyDescent="0.25">
      <c r="A34" s="42" t="s">
        <v>20</v>
      </c>
      <c r="B34" s="39"/>
      <c r="C34" s="44">
        <f>IF(C30="Yes",-5472,0)</f>
        <v>0</v>
      </c>
      <c r="E34" s="41"/>
    </row>
    <row r="35" spans="1:18" x14ac:dyDescent="0.25">
      <c r="A35" s="42" t="s">
        <v>152</v>
      </c>
      <c r="B35" s="39"/>
      <c r="C35" s="44">
        <f>IF(C31="LLC PAL",-C25,(IF(C31="PAL",-5500,0)))</f>
        <v>0</v>
      </c>
      <c r="E35" s="41"/>
    </row>
    <row r="36" spans="1:18" ht="40.5" customHeight="1" x14ac:dyDescent="0.3">
      <c r="A36" s="86" t="s">
        <v>19</v>
      </c>
      <c r="B36" s="86"/>
      <c r="C36" s="36">
        <f>SUM(C23:C35)</f>
        <v>17470.09</v>
      </c>
      <c r="D36" s="43"/>
      <c r="E36" s="41"/>
    </row>
    <row r="37" spans="1:18" ht="14.25" customHeight="1" thickBot="1" x14ac:dyDescent="0.3">
      <c r="A37" s="42"/>
      <c r="B37" s="33"/>
      <c r="D37" s="20"/>
      <c r="E37" s="41"/>
    </row>
    <row r="38" spans="1:18" ht="62.25" customHeight="1" thickBot="1" x14ac:dyDescent="0.3">
      <c r="A38" s="86" t="s">
        <v>18</v>
      </c>
      <c r="B38" s="87"/>
      <c r="C38" s="40">
        <v>12500</v>
      </c>
      <c r="D38" s="38"/>
      <c r="E38" s="85" t="s">
        <v>17</v>
      </c>
      <c r="F38" s="85"/>
      <c r="G38" s="85"/>
      <c r="H38" s="85"/>
    </row>
    <row r="39" spans="1:18" ht="24" hidden="1" customHeight="1" x14ac:dyDescent="0.25">
      <c r="A39" s="39"/>
      <c r="B39" s="39"/>
      <c r="C39" s="30">
        <f>+C36-C38</f>
        <v>4970.09</v>
      </c>
      <c r="D39" s="38"/>
      <c r="E39" s="37"/>
    </row>
    <row r="40" spans="1:18" ht="18.75" x14ac:dyDescent="0.3">
      <c r="A40" s="33" t="s">
        <v>16</v>
      </c>
      <c r="B40" s="33"/>
      <c r="C40" s="36">
        <f>IF(C39&lt;1,"0",(C36-C38))</f>
        <v>4970.09</v>
      </c>
      <c r="D40" s="35"/>
      <c r="E40" s="89" t="s">
        <v>15</v>
      </c>
      <c r="F40" s="89"/>
      <c r="G40" s="89"/>
      <c r="H40" s="89"/>
    </row>
    <row r="41" spans="1:18" ht="16.5" thickBot="1" x14ac:dyDescent="0.3">
      <c r="C41" s="3"/>
      <c r="D41" s="34"/>
    </row>
    <row r="42" spans="1:18" ht="16.5" thickBot="1" x14ac:dyDescent="0.3">
      <c r="A42" s="33" t="s">
        <v>14</v>
      </c>
      <c r="B42" s="33"/>
      <c r="C42" s="32" t="s">
        <v>13</v>
      </c>
      <c r="D42" s="31"/>
      <c r="E42" s="3"/>
    </row>
    <row r="43" spans="1:18" hidden="1" x14ac:dyDescent="0.25"/>
    <row r="44" spans="1:18" hidden="1" x14ac:dyDescent="0.25">
      <c r="C44" s="1">
        <f>VLOOKUP(C42,Formulas!J2:K4,2,FALSE)</f>
        <v>10</v>
      </c>
      <c r="E44" s="1">
        <f>VLOOKUP(C13,Formulas!J24:M27,4,FALSE)</f>
        <v>1</v>
      </c>
      <c r="F44" s="29">
        <f>IF(C38&lt;C25,1,2)</f>
        <v>2</v>
      </c>
      <c r="H44" s="30" t="str">
        <f>CONCATENATE(C44,E44)</f>
        <v>101</v>
      </c>
      <c r="J44" s="1">
        <f>+C40/13</f>
        <v>382.31461538461542</v>
      </c>
      <c r="L44" s="3">
        <f>IF(C38&lt;C23,(C23/2)-R44,0)</f>
        <v>0</v>
      </c>
      <c r="M44" s="83" t="s">
        <v>12</v>
      </c>
      <c r="N44" s="83"/>
      <c r="O44" s="1">
        <v>0</v>
      </c>
      <c r="Q44" s="1">
        <f>+C23/2</f>
        <v>3521</v>
      </c>
      <c r="R44" s="1">
        <f>+C38/2</f>
        <v>6250</v>
      </c>
    </row>
    <row r="45" spans="1:18" hidden="1" x14ac:dyDescent="0.25">
      <c r="F45" s="29"/>
      <c r="M45" s="83"/>
      <c r="N45" s="83"/>
    </row>
    <row r="46" spans="1:18" x14ac:dyDescent="0.25">
      <c r="F46" s="29"/>
      <c r="M46" s="28"/>
      <c r="N46" s="28"/>
    </row>
    <row r="47" spans="1:18" x14ac:dyDescent="0.25">
      <c r="F47" s="29"/>
      <c r="M47" s="28"/>
      <c r="N47" s="28"/>
    </row>
    <row r="48" spans="1:18" x14ac:dyDescent="0.25">
      <c r="F48" s="29"/>
      <c r="M48" s="28"/>
      <c r="N48" s="28"/>
    </row>
    <row r="49" spans="2:14" x14ac:dyDescent="0.25">
      <c r="F49" s="29"/>
      <c r="M49" s="28"/>
      <c r="N49" s="28"/>
    </row>
    <row r="50" spans="2:14" ht="16.5" thickBot="1" x14ac:dyDescent="0.3">
      <c r="F50" s="29"/>
      <c r="M50" s="28"/>
      <c r="N50" s="28"/>
    </row>
    <row r="51" spans="2:14" ht="16.5" customHeight="1" x14ac:dyDescent="0.3">
      <c r="B51" s="93" t="s">
        <v>11</v>
      </c>
      <c r="C51" s="94"/>
      <c r="D51" s="97">
        <f>IF(L44&gt;1,L44,0)</f>
        <v>0</v>
      </c>
      <c r="E51" s="27"/>
      <c r="F51" s="26"/>
    </row>
    <row r="52" spans="2:14" ht="26.25" customHeight="1" thickBot="1" x14ac:dyDescent="0.35">
      <c r="B52" s="95"/>
      <c r="C52" s="96"/>
      <c r="D52" s="98"/>
      <c r="E52" s="23"/>
      <c r="F52" s="22"/>
    </row>
    <row r="53" spans="2:14" ht="15" customHeight="1" thickBot="1" x14ac:dyDescent="0.3">
      <c r="B53" s="25"/>
      <c r="D53" s="24"/>
    </row>
    <row r="54" spans="2:14" ht="15.75" customHeight="1" x14ac:dyDescent="0.25">
      <c r="B54" s="99"/>
      <c r="C54" s="94" t="s">
        <v>10</v>
      </c>
      <c r="E54" s="99"/>
      <c r="F54" s="94" t="s">
        <v>9</v>
      </c>
    </row>
    <row r="55" spans="2:14" ht="26.25" customHeight="1" x14ac:dyDescent="0.25">
      <c r="B55" s="100"/>
      <c r="C55" s="110" t="s">
        <v>8</v>
      </c>
      <c r="E55" s="100"/>
      <c r="F55" s="110" t="s">
        <v>8</v>
      </c>
    </row>
    <row r="56" spans="2:14" ht="19.5" thickBot="1" x14ac:dyDescent="0.35">
      <c r="B56" s="23" t="s">
        <v>7</v>
      </c>
      <c r="C56" s="22" t="s">
        <v>6</v>
      </c>
      <c r="E56" s="23" t="s">
        <v>7</v>
      </c>
      <c r="F56" s="22" t="s">
        <v>6</v>
      </c>
    </row>
    <row r="57" spans="2:14" s="20" customFormat="1" x14ac:dyDescent="0.25">
      <c r="B57" s="14">
        <f>VLOOKUP(H44,Formulas!B70:D91,3,FALSE)</f>
        <v>506.00900000000001</v>
      </c>
      <c r="C57" s="21" t="s">
        <v>121</v>
      </c>
      <c r="E57" s="14" t="e">
        <f>VLOOKUP($H$44,Formulas!$F$70:$G$72,2,0)</f>
        <v>#N/A</v>
      </c>
      <c r="F57" s="21" t="s">
        <v>5</v>
      </c>
    </row>
    <row r="58" spans="2:14" s="20" customFormat="1" x14ac:dyDescent="0.25">
      <c r="B58" s="19">
        <f>VLOOKUP(H44,Formulas!B77:D82,3,FALSE)</f>
        <v>506.00900000000001</v>
      </c>
      <c r="C58" s="16" t="s">
        <v>122</v>
      </c>
      <c r="E58" s="14" t="e">
        <f>VLOOKUP($H$44,Formulas!$F$76:$G$79,2,0)</f>
        <v>#N/A</v>
      </c>
      <c r="F58" s="16" t="s">
        <v>132</v>
      </c>
    </row>
    <row r="59" spans="2:14" x14ac:dyDescent="0.25">
      <c r="B59" s="19">
        <f>VLOOKUP(H44,Formulas!B77:D82,3,FALSE)</f>
        <v>506.00900000000001</v>
      </c>
      <c r="C59" s="16" t="s">
        <v>123</v>
      </c>
      <c r="E59" s="14" t="e">
        <f>VLOOKUP($H$44,Formulas!$F$76:$G$79,2,0)</f>
        <v>#N/A</v>
      </c>
      <c r="F59" s="16" t="s">
        <v>133</v>
      </c>
    </row>
    <row r="60" spans="2:14" x14ac:dyDescent="0.25">
      <c r="B60" s="19">
        <f>VLOOKUP(H44,Formulas!B77:D82,3,FALSE)</f>
        <v>506.00900000000001</v>
      </c>
      <c r="C60" s="16" t="s">
        <v>124</v>
      </c>
      <c r="E60" s="14" t="e">
        <f>VLOOKUP($H$44,Formulas!$F$76:$G$79,2,0)</f>
        <v>#N/A</v>
      </c>
      <c r="F60" s="16" t="s">
        <v>122</v>
      </c>
    </row>
    <row r="61" spans="2:14" x14ac:dyDescent="0.25">
      <c r="B61" s="19">
        <f>VLOOKUP(H44,Formulas!B77:D82,3,FALSE)</f>
        <v>506.00900000000001</v>
      </c>
      <c r="C61" s="16" t="s">
        <v>125</v>
      </c>
      <c r="E61" s="14" t="e">
        <f>VLOOKUP($H$44,Formulas!$F$76:$G$79,2,0)</f>
        <v>#N/A</v>
      </c>
      <c r="F61" s="16" t="s">
        <v>123</v>
      </c>
    </row>
    <row r="62" spans="2:14" x14ac:dyDescent="0.25">
      <c r="B62" s="19">
        <f>VLOOKUP(H44,Formulas!B77:D83,3,FALSE)</f>
        <v>506.00900000000001</v>
      </c>
      <c r="C62" s="16" t="s">
        <v>126</v>
      </c>
      <c r="E62" s="14" t="e">
        <f>VLOOKUP($H$44,Formulas!$F$76:$G$79,2,0)</f>
        <v>#N/A</v>
      </c>
      <c r="F62" s="16" t="s">
        <v>124</v>
      </c>
    </row>
    <row r="63" spans="2:14" x14ac:dyDescent="0.25">
      <c r="B63" s="19">
        <f>VLOOKUP(H44,Formulas!B85:D90,3,FALSE)</f>
        <v>506.00900000000001</v>
      </c>
      <c r="C63" s="16" t="s">
        <v>127</v>
      </c>
      <c r="E63" s="14" t="e">
        <f>VLOOKUP($H$44,Formulas!$F$76:$G$79,2,0)</f>
        <v>#N/A</v>
      </c>
      <c r="F63" s="16" t="s">
        <v>125</v>
      </c>
    </row>
    <row r="64" spans="2:14" x14ac:dyDescent="0.25">
      <c r="B64" s="19">
        <f>VLOOKUP(H44,Formulas!B77:D82,3,FALSE)</f>
        <v>506.00900000000001</v>
      </c>
      <c r="C64" s="16" t="s">
        <v>128</v>
      </c>
      <c r="E64" s="14" t="e">
        <f>VLOOKUP($H$44,Formulas!$F$76:$G$79,2,0)</f>
        <v>#N/A</v>
      </c>
      <c r="F64" s="16" t="s">
        <v>126</v>
      </c>
    </row>
    <row r="65" spans="1:8" x14ac:dyDescent="0.25">
      <c r="B65" s="19">
        <f>VLOOKUP(H44,Formulas!B77:D82,3,FALSE)</f>
        <v>506.00900000000001</v>
      </c>
      <c r="C65" s="16" t="s">
        <v>129</v>
      </c>
      <c r="E65" s="14" t="e">
        <f>VLOOKUP(H44,Formulas!F75:G79,2,FALSE)</f>
        <v>#N/A</v>
      </c>
      <c r="F65" s="16" t="s">
        <v>127</v>
      </c>
    </row>
    <row r="66" spans="1:8" x14ac:dyDescent="0.25">
      <c r="B66" s="19">
        <f>VLOOKUP(H44,Formulas!B77:D82,3,FALSE)</f>
        <v>506.00900000000001</v>
      </c>
      <c r="C66" s="16" t="s">
        <v>130</v>
      </c>
      <c r="E66" s="14" t="e">
        <f>VLOOKUP($H$44,Formulas!$F$76:$G$79,2,0)</f>
        <v>#N/A</v>
      </c>
      <c r="F66" s="16" t="s">
        <v>128</v>
      </c>
    </row>
    <row r="67" spans="1:8" x14ac:dyDescent="0.25">
      <c r="B67" s="18">
        <f>SUM(B57:B66)</f>
        <v>5060.09</v>
      </c>
      <c r="C67" s="17"/>
      <c r="E67" s="14" t="e">
        <f>VLOOKUP($H$44,Formulas!$F$76:$G$79,2,0)</f>
        <v>#N/A</v>
      </c>
      <c r="F67" s="16" t="s">
        <v>129</v>
      </c>
    </row>
    <row r="68" spans="1:8" x14ac:dyDescent="0.25">
      <c r="B68" s="11"/>
      <c r="C68" s="11"/>
      <c r="E68" s="14" t="e">
        <f>VLOOKUP($H$44,Formulas!$F$76:$G$79,2,0)</f>
        <v>#N/A</v>
      </c>
      <c r="F68" s="16" t="s">
        <v>130</v>
      </c>
    </row>
    <row r="69" spans="1:8" ht="16.5" thickBot="1" x14ac:dyDescent="0.3">
      <c r="A69" s="3"/>
      <c r="B69" s="8"/>
      <c r="C69" s="15"/>
      <c r="E69" s="14" t="e">
        <f>VLOOKUP($H$44,Formulas!$F$76:$G$79,2,0)</f>
        <v>#N/A</v>
      </c>
      <c r="F69" s="13" t="s">
        <v>131</v>
      </c>
    </row>
    <row r="70" spans="1:8" x14ac:dyDescent="0.25">
      <c r="A70" s="3"/>
      <c r="B70" s="11"/>
      <c r="C70" s="11"/>
      <c r="E70" s="12" t="e">
        <f>SUM(E57:E69)</f>
        <v>#N/A</v>
      </c>
    </row>
    <row r="71" spans="1:8" ht="10.5" customHeight="1" x14ac:dyDescent="0.25">
      <c r="B71" s="11"/>
      <c r="C71" s="11"/>
      <c r="E71" s="10"/>
    </row>
    <row r="72" spans="1:8" ht="16.5" thickBot="1" x14ac:dyDescent="0.3">
      <c r="B72" s="9">
        <f>+D51+B67</f>
        <v>5060.09</v>
      </c>
      <c r="C72" s="8" t="s">
        <v>4</v>
      </c>
      <c r="E72" s="9" t="e">
        <f>+D51+E70</f>
        <v>#N/A</v>
      </c>
      <c r="F72" s="8" t="s">
        <v>4</v>
      </c>
    </row>
    <row r="73" spans="1:8" ht="17.25" thickTop="1" thickBot="1" x14ac:dyDescent="0.3">
      <c r="B73" s="8"/>
      <c r="C73" s="8"/>
    </row>
    <row r="74" spans="1:8" ht="20.25" customHeight="1" thickBot="1" x14ac:dyDescent="0.3">
      <c r="A74" s="101" t="s">
        <v>3</v>
      </c>
      <c r="B74" s="102"/>
      <c r="C74" s="102"/>
      <c r="D74" s="102"/>
      <c r="E74" s="102"/>
      <c r="F74" s="102"/>
      <c r="G74" s="102"/>
      <c r="H74" s="103"/>
    </row>
    <row r="75" spans="1:8" ht="12" customHeight="1" x14ac:dyDescent="0.25">
      <c r="A75" s="7"/>
      <c r="B75" s="6"/>
      <c r="C75" s="5"/>
      <c r="D75" s="5"/>
      <c r="E75" s="5"/>
      <c r="F75" s="5"/>
      <c r="G75" s="5"/>
      <c r="H75" s="4"/>
    </row>
    <row r="76" spans="1:8" ht="18.75" customHeight="1" x14ac:dyDescent="0.25">
      <c r="A76" s="104" t="s">
        <v>2</v>
      </c>
      <c r="B76" s="105"/>
      <c r="C76" s="105"/>
      <c r="D76" s="105"/>
      <c r="E76" s="105"/>
      <c r="F76" s="105"/>
      <c r="G76" s="105"/>
      <c r="H76" s="106"/>
    </row>
    <row r="77" spans="1:8" ht="21" customHeight="1" x14ac:dyDescent="0.25">
      <c r="A77" s="107" t="s">
        <v>1</v>
      </c>
      <c r="B77" s="108"/>
      <c r="C77" s="108"/>
      <c r="D77" s="108"/>
      <c r="E77" s="108"/>
      <c r="F77" s="108"/>
      <c r="G77" s="108"/>
      <c r="H77" s="109"/>
    </row>
    <row r="78" spans="1:8" ht="29.25" customHeight="1" thickBot="1" x14ac:dyDescent="0.3">
      <c r="A78" s="90" t="s">
        <v>0</v>
      </c>
      <c r="B78" s="91"/>
      <c r="C78" s="91"/>
      <c r="D78" s="91"/>
      <c r="E78" s="91"/>
      <c r="F78" s="91"/>
      <c r="G78" s="91"/>
      <c r="H78" s="92"/>
    </row>
    <row r="80" spans="1:8" x14ac:dyDescent="0.25">
      <c r="D80" s="3"/>
      <c r="E80" s="3"/>
    </row>
    <row r="109" spans="1:1" x14ac:dyDescent="0.25">
      <c r="A109" s="2">
        <f ca="1">TODAY()</f>
        <v>43143</v>
      </c>
    </row>
  </sheetData>
  <sheetProtection sheet="1" objects="1" scenarios="1" selectLockedCells="1"/>
  <mergeCells count="26">
    <mergeCell ref="A6:F6"/>
    <mergeCell ref="A8:F8"/>
    <mergeCell ref="A10:F10"/>
    <mergeCell ref="A9:F9"/>
    <mergeCell ref="A11:F11"/>
    <mergeCell ref="A78:H78"/>
    <mergeCell ref="B51:C52"/>
    <mergeCell ref="D51:D52"/>
    <mergeCell ref="B54:B55"/>
    <mergeCell ref="A23:B23"/>
    <mergeCell ref="E54:E55"/>
    <mergeCell ref="A26:B26"/>
    <mergeCell ref="A74:H74"/>
    <mergeCell ref="A76:H76"/>
    <mergeCell ref="A77:H77"/>
    <mergeCell ref="C54:C55"/>
    <mergeCell ref="F54:F55"/>
    <mergeCell ref="C18:D18"/>
    <mergeCell ref="A7:F7"/>
    <mergeCell ref="M44:N45"/>
    <mergeCell ref="E18:H18"/>
    <mergeCell ref="E38:H38"/>
    <mergeCell ref="A38:B38"/>
    <mergeCell ref="A36:B36"/>
    <mergeCell ref="A25:B25"/>
    <mergeCell ref="E40:H40"/>
  </mergeCells>
  <dataValidations count="5">
    <dataValidation type="list" allowBlank="1" showInputMessage="1" showErrorMessage="1" sqref="C13">
      <formula1>Term_6</formula1>
    </dataValidation>
    <dataValidation type="list" allowBlank="1" showInputMessage="1" showErrorMessage="1" prompt="Select Meal Plan" sqref="C20:D20">
      <formula1>Meals_3</formula1>
    </dataValidation>
    <dataValidation type="list" allowBlank="1" showInputMessage="1" showErrorMessage="1" prompt="Select Class Level" sqref="C16:D16">
      <formula1>Class</formula1>
    </dataValidation>
    <dataValidation type="list" allowBlank="1" showInputMessage="1" showErrorMessage="1" prompt="Select Yes or No" sqref="C22:D22">
      <formula1>Winter</formula1>
    </dataValidation>
    <dataValidation type="list" allowBlank="1" showInputMessage="1" showErrorMessage="1" prompt="Select Payment Plan" sqref="C42:D42">
      <formula1>Payments</formula1>
    </dataValidation>
  </dataValidations>
  <printOptions horizontalCentered="1"/>
  <pageMargins left="0.38" right="0.31" top="0.27" bottom="0.72" header="0.35" footer="0.3"/>
  <pageSetup scale="40" orientation="landscape" r:id="rId1"/>
  <headerFooter>
    <oddFooter>&amp;C&amp;P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Formulas!$F$2:$F$9</xm:f>
          </x14:formula1>
          <xm:sqref>C18:D18</xm:sqref>
        </x14:dataValidation>
        <x14:dataValidation type="list" allowBlank="1" showInputMessage="1" showErrorMessage="1">
          <x14:formula1>
            <xm:f>Formulas!$D$63:$D$64</xm:f>
          </x14:formula1>
          <xm:sqref>C28 C29 C30</xm:sqref>
        </x14:dataValidation>
        <x14:dataValidation type="list" allowBlank="1" showInputMessage="1" showErrorMessage="1">
          <x14:formula1>
            <xm:f>Formulas!$D$59:$D$61</xm:f>
          </x14:formula1>
          <xm:sqref>C31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124"/>
  <sheetViews>
    <sheetView workbookViewId="0">
      <selection activeCell="D52" sqref="D52"/>
    </sheetView>
  </sheetViews>
  <sheetFormatPr defaultRowHeight="15" x14ac:dyDescent="0.25"/>
  <cols>
    <col min="4" max="4" width="58.7109375" customWidth="1"/>
    <col min="5" max="5" width="51.85546875" customWidth="1"/>
    <col min="6" max="6" width="29" bestFit="1" customWidth="1"/>
    <col min="7" max="7" width="75.28515625" customWidth="1"/>
    <col min="8" max="8" width="29" customWidth="1"/>
    <col min="9" max="9" width="30.7109375" bestFit="1" customWidth="1"/>
    <col min="10" max="10" width="49.42578125" bestFit="1" customWidth="1"/>
    <col min="11" max="11" width="11.85546875" customWidth="1"/>
    <col min="12" max="12" width="12.140625" customWidth="1"/>
    <col min="20" max="20" width="31.85546875" customWidth="1"/>
  </cols>
  <sheetData>
    <row r="1" spans="4:21" x14ac:dyDescent="0.25">
      <c r="D1" s="75" t="s">
        <v>119</v>
      </c>
      <c r="E1" s="75" t="s">
        <v>118</v>
      </c>
      <c r="F1" s="75" t="s">
        <v>106</v>
      </c>
      <c r="G1" s="75" t="s">
        <v>117</v>
      </c>
      <c r="H1" s="75" t="s">
        <v>116</v>
      </c>
      <c r="I1" s="75" t="s">
        <v>115</v>
      </c>
      <c r="J1" s="75" t="s">
        <v>114</v>
      </c>
    </row>
    <row r="2" spans="4:21" x14ac:dyDescent="0.25">
      <c r="D2" t="s">
        <v>134</v>
      </c>
      <c r="E2" t="s">
        <v>34</v>
      </c>
      <c r="F2" t="s">
        <v>32</v>
      </c>
      <c r="G2" t="s">
        <v>146</v>
      </c>
      <c r="H2" s="76">
        <v>3715.23</v>
      </c>
      <c r="I2" t="s">
        <v>55</v>
      </c>
      <c r="J2" t="s">
        <v>108</v>
      </c>
      <c r="K2">
        <v>1</v>
      </c>
      <c r="L2" t="s">
        <v>113</v>
      </c>
    </row>
    <row r="3" spans="4:21" x14ac:dyDescent="0.25">
      <c r="D3" t="s">
        <v>112</v>
      </c>
      <c r="E3" t="s">
        <v>111</v>
      </c>
      <c r="F3" t="s">
        <v>101</v>
      </c>
      <c r="G3" t="s">
        <v>145</v>
      </c>
      <c r="H3" s="76">
        <v>3476.09</v>
      </c>
      <c r="I3" t="s">
        <v>23</v>
      </c>
      <c r="J3" t="s">
        <v>107</v>
      </c>
      <c r="K3">
        <v>2</v>
      </c>
      <c r="L3" t="s">
        <v>110</v>
      </c>
    </row>
    <row r="4" spans="4:21" x14ac:dyDescent="0.25">
      <c r="D4" t="s">
        <v>87</v>
      </c>
      <c r="F4" t="s">
        <v>100</v>
      </c>
      <c r="G4" t="s">
        <v>148</v>
      </c>
      <c r="H4" s="76">
        <f>+H2</f>
        <v>3715.23</v>
      </c>
      <c r="J4" t="s">
        <v>13</v>
      </c>
      <c r="K4">
        <v>10</v>
      </c>
      <c r="L4" t="s">
        <v>109</v>
      </c>
    </row>
    <row r="5" spans="4:21" x14ac:dyDescent="0.25">
      <c r="D5" t="s">
        <v>79</v>
      </c>
      <c r="F5" t="s">
        <v>99</v>
      </c>
      <c r="G5" t="s">
        <v>147</v>
      </c>
      <c r="H5" s="76">
        <f>+H3</f>
        <v>3476.09</v>
      </c>
    </row>
    <row r="6" spans="4:21" x14ac:dyDescent="0.25">
      <c r="F6" t="s">
        <v>98</v>
      </c>
      <c r="G6" t="s">
        <v>149</v>
      </c>
      <c r="H6" s="76">
        <v>2400</v>
      </c>
      <c r="J6" t="s">
        <v>108</v>
      </c>
    </row>
    <row r="7" spans="4:21" x14ac:dyDescent="0.25">
      <c r="F7" t="s">
        <v>93</v>
      </c>
      <c r="G7" t="s">
        <v>150</v>
      </c>
      <c r="H7" s="76">
        <v>1600</v>
      </c>
      <c r="J7" t="s">
        <v>107</v>
      </c>
    </row>
    <row r="8" spans="4:21" x14ac:dyDescent="0.25">
      <c r="F8" t="s">
        <v>89</v>
      </c>
      <c r="G8" t="s">
        <v>151</v>
      </c>
      <c r="H8" s="76">
        <v>1100</v>
      </c>
      <c r="J8" t="s">
        <v>13</v>
      </c>
    </row>
    <row r="9" spans="4:21" x14ac:dyDescent="0.25">
      <c r="F9" t="s">
        <v>95</v>
      </c>
      <c r="H9" s="76"/>
    </row>
    <row r="10" spans="4:21" x14ac:dyDescent="0.25">
      <c r="H10" s="76"/>
    </row>
    <row r="14" spans="4:21" x14ac:dyDescent="0.25">
      <c r="T14" s="75" t="s">
        <v>106</v>
      </c>
    </row>
    <row r="15" spans="4:21" ht="16.5" customHeight="1" x14ac:dyDescent="0.25">
      <c r="T15" t="s">
        <v>32</v>
      </c>
      <c r="U15" t="s">
        <v>105</v>
      </c>
    </row>
    <row r="16" spans="4:21" ht="16.5" customHeight="1" x14ac:dyDescent="0.25">
      <c r="E16" t="s">
        <v>104</v>
      </c>
      <c r="T16" t="s">
        <v>103</v>
      </c>
      <c r="U16" t="s">
        <v>102</v>
      </c>
    </row>
    <row r="17" spans="4:21" ht="16.5" customHeight="1" x14ac:dyDescent="0.25">
      <c r="D17" t="s">
        <v>135</v>
      </c>
      <c r="E17" s="77">
        <v>4628</v>
      </c>
      <c r="H17" s="76">
        <f t="shared" ref="H17:H24" si="0">+E17</f>
        <v>4628</v>
      </c>
      <c r="T17" t="s">
        <v>101</v>
      </c>
      <c r="U17" s="78" t="s">
        <v>97</v>
      </c>
    </row>
    <row r="18" spans="4:21" ht="16.5" customHeight="1" x14ac:dyDescent="0.25">
      <c r="D18" t="s">
        <v>136</v>
      </c>
      <c r="E18" s="77">
        <v>0</v>
      </c>
      <c r="H18" s="76">
        <f t="shared" si="0"/>
        <v>0</v>
      </c>
      <c r="T18" t="s">
        <v>100</v>
      </c>
      <c r="U18" t="s">
        <v>85</v>
      </c>
    </row>
    <row r="19" spans="4:21" ht="16.5" customHeight="1" x14ac:dyDescent="0.25">
      <c r="D19" t="s">
        <v>137</v>
      </c>
      <c r="E19" s="77">
        <v>7592</v>
      </c>
      <c r="H19" s="76">
        <f t="shared" si="0"/>
        <v>7592</v>
      </c>
      <c r="T19" t="s">
        <v>99</v>
      </c>
      <c r="U19" t="s">
        <v>81</v>
      </c>
    </row>
    <row r="20" spans="4:21" ht="16.5" customHeight="1" x14ac:dyDescent="0.25">
      <c r="D20" s="79" t="s">
        <v>138</v>
      </c>
      <c r="E20" s="77">
        <v>8086</v>
      </c>
      <c r="H20" s="76">
        <f t="shared" si="0"/>
        <v>8086</v>
      </c>
      <c r="T20" t="s">
        <v>98</v>
      </c>
      <c r="U20" s="78" t="s">
        <v>97</v>
      </c>
    </row>
    <row r="21" spans="4:21" ht="16.5" customHeight="1" x14ac:dyDescent="0.25">
      <c r="D21" t="s">
        <v>139</v>
      </c>
      <c r="E21" s="77">
        <v>8162</v>
      </c>
      <c r="H21" s="76">
        <f t="shared" si="0"/>
        <v>8162</v>
      </c>
      <c r="T21" t="s">
        <v>96</v>
      </c>
      <c r="U21" t="s">
        <v>81</v>
      </c>
    </row>
    <row r="22" spans="4:21" ht="16.5" customHeight="1" x14ac:dyDescent="0.25">
      <c r="D22" t="s">
        <v>140</v>
      </c>
      <c r="E22" s="77">
        <f>+E21</f>
        <v>8162</v>
      </c>
      <c r="H22" s="76">
        <f t="shared" si="0"/>
        <v>8162</v>
      </c>
      <c r="T22" t="s">
        <v>95</v>
      </c>
      <c r="U22" t="s">
        <v>81</v>
      </c>
    </row>
    <row r="23" spans="4:21" x14ac:dyDescent="0.25">
      <c r="D23" t="s">
        <v>141</v>
      </c>
      <c r="E23" s="77">
        <v>8345</v>
      </c>
      <c r="H23" s="76">
        <f t="shared" si="0"/>
        <v>8345</v>
      </c>
      <c r="J23" s="75" t="s">
        <v>94</v>
      </c>
      <c r="T23" t="s">
        <v>93</v>
      </c>
      <c r="U23" t="s">
        <v>81</v>
      </c>
    </row>
    <row r="24" spans="4:21" x14ac:dyDescent="0.25">
      <c r="D24" t="s">
        <v>92</v>
      </c>
      <c r="E24" s="75"/>
      <c r="H24">
        <f t="shared" si="0"/>
        <v>0</v>
      </c>
      <c r="I24" s="75"/>
      <c r="J24" t="s">
        <v>134</v>
      </c>
      <c r="K24">
        <f>3521*2</f>
        <v>7042</v>
      </c>
      <c r="M24">
        <v>1</v>
      </c>
      <c r="T24" t="s">
        <v>89</v>
      </c>
      <c r="U24" t="s">
        <v>81</v>
      </c>
    </row>
    <row r="25" spans="4:21" ht="18.75" customHeight="1" x14ac:dyDescent="0.25">
      <c r="D25" t="s">
        <v>91</v>
      </c>
      <c r="H25">
        <f t="shared" ref="H25:H37" si="1">SUM(E24:G24)</f>
        <v>0</v>
      </c>
      <c r="I25" s="60"/>
      <c r="J25" t="s">
        <v>90</v>
      </c>
      <c r="K25">
        <f>3521*2</f>
        <v>7042</v>
      </c>
      <c r="M25">
        <v>4</v>
      </c>
      <c r="T25" t="s">
        <v>89</v>
      </c>
      <c r="U25" t="s">
        <v>81</v>
      </c>
    </row>
    <row r="26" spans="4:21" x14ac:dyDescent="0.25">
      <c r="D26" t="s">
        <v>88</v>
      </c>
      <c r="H26">
        <f t="shared" si="1"/>
        <v>0</v>
      </c>
      <c r="J26" t="s">
        <v>87</v>
      </c>
      <c r="K26">
        <f>3521*2</f>
        <v>7042</v>
      </c>
      <c r="M26">
        <v>4</v>
      </c>
      <c r="T26" t="s">
        <v>86</v>
      </c>
      <c r="U26" t="s">
        <v>85</v>
      </c>
    </row>
    <row r="27" spans="4:21" x14ac:dyDescent="0.25">
      <c r="D27" t="s">
        <v>84</v>
      </c>
      <c r="H27">
        <f t="shared" si="1"/>
        <v>0</v>
      </c>
      <c r="J27" t="s">
        <v>83</v>
      </c>
      <c r="K27">
        <f>3521*2</f>
        <v>7042</v>
      </c>
      <c r="M27">
        <v>5</v>
      </c>
      <c r="T27" t="s">
        <v>82</v>
      </c>
      <c r="U27" t="s">
        <v>81</v>
      </c>
    </row>
    <row r="28" spans="4:21" x14ac:dyDescent="0.25">
      <c r="D28" t="s">
        <v>80</v>
      </c>
      <c r="H28">
        <f t="shared" si="1"/>
        <v>0</v>
      </c>
      <c r="J28" t="s">
        <v>79</v>
      </c>
      <c r="K28">
        <f>3521*2</f>
        <v>7042</v>
      </c>
      <c r="M28">
        <v>4</v>
      </c>
    </row>
    <row r="29" spans="4:21" hidden="1" x14ac:dyDescent="0.25">
      <c r="D29" t="s">
        <v>78</v>
      </c>
      <c r="H29">
        <f t="shared" si="1"/>
        <v>0</v>
      </c>
    </row>
    <row r="30" spans="4:21" hidden="1" x14ac:dyDescent="0.25">
      <c r="D30" t="s">
        <v>77</v>
      </c>
      <c r="H30">
        <f t="shared" si="1"/>
        <v>0</v>
      </c>
    </row>
    <row r="31" spans="4:21" x14ac:dyDescent="0.25">
      <c r="D31" t="s">
        <v>76</v>
      </c>
      <c r="H31">
        <f t="shared" si="1"/>
        <v>0</v>
      </c>
      <c r="J31" t="s">
        <v>143</v>
      </c>
      <c r="K31">
        <v>3521</v>
      </c>
      <c r="M31">
        <v>2</v>
      </c>
    </row>
    <row r="32" spans="4:21" x14ac:dyDescent="0.25">
      <c r="D32" t="s">
        <v>75</v>
      </c>
      <c r="F32" s="73"/>
      <c r="H32">
        <f t="shared" si="1"/>
        <v>0</v>
      </c>
      <c r="J32" t="s">
        <v>144</v>
      </c>
      <c r="K32" s="74">
        <f>+K31</f>
        <v>3521</v>
      </c>
      <c r="M32">
        <v>3</v>
      </c>
    </row>
    <row r="33" spans="4:8" ht="15.75" hidden="1" customHeight="1" x14ac:dyDescent="0.25">
      <c r="D33" t="s">
        <v>74</v>
      </c>
      <c r="F33" s="73"/>
      <c r="H33">
        <f t="shared" si="1"/>
        <v>0</v>
      </c>
    </row>
    <row r="34" spans="4:8" hidden="1" x14ac:dyDescent="0.25">
      <c r="D34" t="s">
        <v>73</v>
      </c>
      <c r="F34" s="73"/>
      <c r="H34">
        <f t="shared" si="1"/>
        <v>0</v>
      </c>
    </row>
    <row r="35" spans="4:8" hidden="1" x14ac:dyDescent="0.25">
      <c r="D35" t="s">
        <v>72</v>
      </c>
      <c r="F35" s="60"/>
      <c r="H35">
        <f t="shared" si="1"/>
        <v>0</v>
      </c>
    </row>
    <row r="36" spans="4:8" hidden="1" x14ac:dyDescent="0.25">
      <c r="D36" t="s">
        <v>71</v>
      </c>
      <c r="F36" s="60"/>
      <c r="H36">
        <f t="shared" si="1"/>
        <v>0</v>
      </c>
    </row>
    <row r="37" spans="4:8" hidden="1" x14ac:dyDescent="0.25">
      <c r="D37" t="s">
        <v>70</v>
      </c>
      <c r="F37" s="60"/>
      <c r="H37">
        <f t="shared" si="1"/>
        <v>0</v>
      </c>
    </row>
    <row r="38" spans="4:8" x14ac:dyDescent="0.25">
      <c r="D38" t="s">
        <v>69</v>
      </c>
      <c r="E38" s="72">
        <v>10702</v>
      </c>
      <c r="F38" s="60"/>
      <c r="H38">
        <f>+E38</f>
        <v>10702</v>
      </c>
    </row>
    <row r="39" spans="4:8" x14ac:dyDescent="0.25">
      <c r="D39" t="s">
        <v>68</v>
      </c>
      <c r="E39" s="72">
        <v>10477</v>
      </c>
      <c r="F39" s="60"/>
      <c r="G39" s="60"/>
      <c r="H39">
        <f>+E39</f>
        <v>10477</v>
      </c>
    </row>
    <row r="40" spans="4:8" x14ac:dyDescent="0.25">
      <c r="D40" t="s">
        <v>67</v>
      </c>
      <c r="E40" s="72">
        <v>10211</v>
      </c>
      <c r="F40" s="60"/>
      <c r="G40" s="60"/>
      <c r="H40" s="71">
        <f>E40</f>
        <v>10211</v>
      </c>
    </row>
    <row r="41" spans="4:8" x14ac:dyDescent="0.25">
      <c r="D41" t="s">
        <v>142</v>
      </c>
      <c r="E41">
        <v>6702</v>
      </c>
      <c r="F41" s="60"/>
      <c r="G41" s="60"/>
      <c r="H41">
        <f>+E41</f>
        <v>6702</v>
      </c>
    </row>
    <row r="42" spans="4:8" hidden="1" x14ac:dyDescent="0.25">
      <c r="D42" t="s">
        <v>66</v>
      </c>
      <c r="F42" s="60"/>
      <c r="G42" s="60"/>
      <c r="H42">
        <f>SUM(E41:G41)</f>
        <v>6702</v>
      </c>
    </row>
    <row r="43" spans="4:8" x14ac:dyDescent="0.25">
      <c r="D43" t="s">
        <v>65</v>
      </c>
      <c r="F43" s="60"/>
      <c r="G43" s="60"/>
      <c r="H43">
        <f>SUM(E42:G42)</f>
        <v>0</v>
      </c>
    </row>
    <row r="44" spans="4:8" x14ac:dyDescent="0.25">
      <c r="D44" t="s">
        <v>153</v>
      </c>
      <c r="E44">
        <v>6702</v>
      </c>
      <c r="F44" s="60"/>
      <c r="G44" s="60"/>
      <c r="H44">
        <f>+E44</f>
        <v>6702</v>
      </c>
    </row>
    <row r="45" spans="4:8" hidden="1" x14ac:dyDescent="0.25">
      <c r="D45" t="s">
        <v>64</v>
      </c>
      <c r="F45" s="60"/>
      <c r="G45" s="60"/>
      <c r="H45">
        <f t="shared" ref="H45:H52" si="2">SUM(E44:G44)</f>
        <v>6702</v>
      </c>
    </row>
    <row r="46" spans="4:8" hidden="1" x14ac:dyDescent="0.25">
      <c r="D46" t="s">
        <v>63</v>
      </c>
      <c r="F46" s="60"/>
      <c r="G46" s="60"/>
      <c r="H46">
        <f t="shared" si="2"/>
        <v>0</v>
      </c>
    </row>
    <row r="47" spans="4:8" hidden="1" x14ac:dyDescent="0.25">
      <c r="D47" s="70" t="s">
        <v>62</v>
      </c>
      <c r="E47" s="70">
        <v>3120.87</v>
      </c>
      <c r="F47" s="60"/>
      <c r="G47" s="60"/>
      <c r="H47">
        <f t="shared" si="2"/>
        <v>0</v>
      </c>
    </row>
    <row r="48" spans="4:8" hidden="1" x14ac:dyDescent="0.25">
      <c r="D48" s="70" t="s">
        <v>61</v>
      </c>
      <c r="E48" s="70">
        <v>3584.01</v>
      </c>
      <c r="F48" s="60"/>
      <c r="G48" s="60"/>
      <c r="H48">
        <f t="shared" si="2"/>
        <v>3120.87</v>
      </c>
    </row>
    <row r="49" spans="4:9" hidden="1" x14ac:dyDescent="0.25">
      <c r="D49" s="70" t="s">
        <v>60</v>
      </c>
      <c r="E49" s="70">
        <v>3728.75</v>
      </c>
      <c r="F49" s="60"/>
      <c r="G49" s="60"/>
      <c r="H49">
        <f t="shared" si="2"/>
        <v>3584.01</v>
      </c>
    </row>
    <row r="50" spans="4:9" hidden="1" x14ac:dyDescent="0.25">
      <c r="D50" s="70" t="s">
        <v>59</v>
      </c>
      <c r="E50" s="70">
        <v>3902.44</v>
      </c>
      <c r="F50" s="60"/>
      <c r="G50" s="60"/>
      <c r="H50">
        <f t="shared" si="2"/>
        <v>3728.75</v>
      </c>
    </row>
    <row r="51" spans="4:9" hidden="1" x14ac:dyDescent="0.25">
      <c r="D51" s="70" t="s">
        <v>58</v>
      </c>
      <c r="E51" s="70">
        <v>7584.01</v>
      </c>
      <c r="F51" s="60"/>
      <c r="G51" s="60"/>
      <c r="H51">
        <f t="shared" si="2"/>
        <v>3902.44</v>
      </c>
    </row>
    <row r="52" spans="4:9" x14ac:dyDescent="0.25">
      <c r="H52">
        <f t="shared" si="2"/>
        <v>7584.01</v>
      </c>
    </row>
    <row r="53" spans="4:9" x14ac:dyDescent="0.25">
      <c r="F53" s="60"/>
      <c r="G53" s="60"/>
    </row>
    <row r="54" spans="4:9" x14ac:dyDescent="0.25">
      <c r="F54" s="60"/>
      <c r="G54" s="60"/>
      <c r="I54" s="60"/>
    </row>
    <row r="55" spans="4:9" x14ac:dyDescent="0.25">
      <c r="F55" s="59"/>
    </row>
    <row r="56" spans="4:9" x14ac:dyDescent="0.25">
      <c r="F56" s="59"/>
    </row>
    <row r="57" spans="4:9" x14ac:dyDescent="0.25">
      <c r="F57" s="59"/>
    </row>
    <row r="58" spans="4:9" x14ac:dyDescent="0.25">
      <c r="F58" s="59"/>
    </row>
    <row r="59" spans="4:9" x14ac:dyDescent="0.25">
      <c r="D59" t="s">
        <v>23</v>
      </c>
      <c r="F59" s="59"/>
    </row>
    <row r="60" spans="4:9" x14ac:dyDescent="0.25">
      <c r="D60" t="s">
        <v>57</v>
      </c>
      <c r="F60" s="59"/>
      <c r="I60" s="60"/>
    </row>
    <row r="61" spans="4:9" x14ac:dyDescent="0.25">
      <c r="D61" t="s">
        <v>56</v>
      </c>
      <c r="F61" s="59"/>
    </row>
    <row r="62" spans="4:9" x14ac:dyDescent="0.25">
      <c r="F62" s="59"/>
    </row>
    <row r="63" spans="4:9" x14ac:dyDescent="0.25">
      <c r="D63" t="s">
        <v>55</v>
      </c>
      <c r="F63" s="69"/>
    </row>
    <row r="64" spans="4:9" x14ac:dyDescent="0.25">
      <c r="D64" t="s">
        <v>23</v>
      </c>
      <c r="F64" s="68"/>
    </row>
    <row r="65" spans="2:9" x14ac:dyDescent="0.25">
      <c r="F65" s="67"/>
      <c r="G65" s="64"/>
    </row>
    <row r="66" spans="2:9" x14ac:dyDescent="0.25">
      <c r="F66" s="59"/>
    </row>
    <row r="68" spans="2:9" x14ac:dyDescent="0.25">
      <c r="D68" t="s">
        <v>54</v>
      </c>
    </row>
    <row r="69" spans="2:9" x14ac:dyDescent="0.25">
      <c r="D69" s="62">
        <f>+'Housing Financial Planning '!C40</f>
        <v>4970.09</v>
      </c>
      <c r="F69" t="s">
        <v>53</v>
      </c>
    </row>
    <row r="70" spans="2:9" x14ac:dyDescent="0.25">
      <c r="B70" s="61" t="s">
        <v>51</v>
      </c>
      <c r="C70">
        <v>1</v>
      </c>
      <c r="D70" s="62">
        <f>+D69</f>
        <v>4970.09</v>
      </c>
      <c r="F70" s="61" t="s">
        <v>52</v>
      </c>
      <c r="G70" s="66">
        <f>+'Housing Financial Planning '!C40-'Housing Financial Planning '!L44</f>
        <v>4970.09</v>
      </c>
    </row>
    <row r="71" spans="2:9" x14ac:dyDescent="0.25">
      <c r="B71" s="61" t="s">
        <v>47</v>
      </c>
      <c r="C71">
        <v>2</v>
      </c>
      <c r="D71" s="65">
        <f>(+D69/2)+5</f>
        <v>2490.0450000000001</v>
      </c>
      <c r="F71" s="61" t="s">
        <v>50</v>
      </c>
      <c r="G71" s="64">
        <f>(+G70/2)+5</f>
        <v>2490.0450000000001</v>
      </c>
    </row>
    <row r="72" spans="2:9" x14ac:dyDescent="0.25">
      <c r="B72" s="61" t="s">
        <v>44</v>
      </c>
      <c r="C72">
        <v>10</v>
      </c>
      <c r="D72">
        <f>(+D69+90)/10</f>
        <v>506.00900000000001</v>
      </c>
      <c r="F72" s="61" t="s">
        <v>48</v>
      </c>
      <c r="G72" s="63">
        <f>+G70/13</f>
        <v>382.31461538461542</v>
      </c>
    </row>
    <row r="73" spans="2:9" x14ac:dyDescent="0.25">
      <c r="B73" s="61" t="s">
        <v>49</v>
      </c>
      <c r="C73">
        <v>1</v>
      </c>
      <c r="D73" s="62">
        <f>+D69</f>
        <v>4970.09</v>
      </c>
    </row>
    <row r="74" spans="2:9" x14ac:dyDescent="0.25">
      <c r="B74" s="61" t="s">
        <v>46</v>
      </c>
      <c r="C74">
        <v>2</v>
      </c>
      <c r="D74">
        <f>(D73/2)+5</f>
        <v>2490.0450000000001</v>
      </c>
      <c r="I74" s="60"/>
    </row>
    <row r="75" spans="2:9" x14ac:dyDescent="0.25">
      <c r="B75" s="61" t="s">
        <v>45</v>
      </c>
      <c r="C75">
        <v>10</v>
      </c>
      <c r="D75">
        <f>+D72</f>
        <v>506.00900000000001</v>
      </c>
      <c r="F75" s="61" t="s">
        <v>50</v>
      </c>
      <c r="G75" s="64">
        <f>+G71</f>
        <v>2490.0450000000001</v>
      </c>
    </row>
    <row r="76" spans="2:9" x14ac:dyDescent="0.25">
      <c r="F76" s="61"/>
      <c r="G76" s="64">
        <v>0</v>
      </c>
    </row>
    <row r="77" spans="2:9" x14ac:dyDescent="0.25">
      <c r="B77" s="61" t="s">
        <v>51</v>
      </c>
      <c r="C77">
        <v>1</v>
      </c>
      <c r="D77" s="62">
        <f>+D76</f>
        <v>0</v>
      </c>
      <c r="F77" s="61" t="s">
        <v>50</v>
      </c>
      <c r="G77" s="64">
        <v>0</v>
      </c>
    </row>
    <row r="78" spans="2:9" x14ac:dyDescent="0.25">
      <c r="B78" s="61" t="s">
        <v>47</v>
      </c>
      <c r="C78">
        <v>2</v>
      </c>
      <c r="D78" s="62">
        <f>+D77</f>
        <v>0</v>
      </c>
      <c r="F78" s="61" t="s">
        <v>48</v>
      </c>
      <c r="G78" s="64">
        <f>+G70/13</f>
        <v>382.31461538461542</v>
      </c>
    </row>
    <row r="79" spans="2:9" x14ac:dyDescent="0.25">
      <c r="B79" s="61" t="s">
        <v>49</v>
      </c>
      <c r="C79">
        <v>5</v>
      </c>
      <c r="D79" s="62">
        <v>0</v>
      </c>
      <c r="F79" s="61" t="s">
        <v>52</v>
      </c>
      <c r="G79" s="63">
        <v>0</v>
      </c>
    </row>
    <row r="80" spans="2:9" x14ac:dyDescent="0.25">
      <c r="B80" s="61" t="s">
        <v>46</v>
      </c>
      <c r="C80">
        <v>5</v>
      </c>
      <c r="D80" s="62">
        <v>0</v>
      </c>
    </row>
    <row r="81" spans="2:7" x14ac:dyDescent="0.25">
      <c r="B81" s="61" t="s">
        <v>45</v>
      </c>
      <c r="C81">
        <v>5</v>
      </c>
      <c r="D81" s="62">
        <f>+D72</f>
        <v>506.00900000000001</v>
      </c>
    </row>
    <row r="82" spans="2:7" x14ac:dyDescent="0.25">
      <c r="B82" s="61" t="s">
        <v>44</v>
      </c>
      <c r="C82">
        <v>10</v>
      </c>
      <c r="D82">
        <f>+D72</f>
        <v>506.00900000000001</v>
      </c>
      <c r="F82" s="59"/>
    </row>
    <row r="83" spans="2:7" x14ac:dyDescent="0.25">
      <c r="F83" s="59"/>
      <c r="G83">
        <v>0</v>
      </c>
    </row>
    <row r="84" spans="2:7" x14ac:dyDescent="0.25">
      <c r="F84" s="61" t="s">
        <v>52</v>
      </c>
    </row>
    <row r="85" spans="2:7" x14ac:dyDescent="0.25">
      <c r="B85" s="61" t="s">
        <v>51</v>
      </c>
      <c r="C85">
        <v>1</v>
      </c>
      <c r="D85">
        <v>0</v>
      </c>
      <c r="F85" s="61" t="s">
        <v>50</v>
      </c>
      <c r="G85" s="62">
        <f>+G71</f>
        <v>2490.0450000000001</v>
      </c>
    </row>
    <row r="86" spans="2:7" x14ac:dyDescent="0.25">
      <c r="B86" s="61" t="s">
        <v>49</v>
      </c>
      <c r="C86">
        <v>5</v>
      </c>
      <c r="D86">
        <v>0</v>
      </c>
      <c r="F86" s="61" t="s">
        <v>48</v>
      </c>
      <c r="G86" s="62">
        <f>+G72</f>
        <v>382.31461538461542</v>
      </c>
    </row>
    <row r="87" spans="2:7" x14ac:dyDescent="0.25">
      <c r="B87" s="61" t="s">
        <v>47</v>
      </c>
      <c r="C87">
        <v>2</v>
      </c>
      <c r="D87">
        <f>+D71</f>
        <v>2490.0450000000001</v>
      </c>
    </row>
    <row r="88" spans="2:7" x14ac:dyDescent="0.25">
      <c r="B88" s="61" t="s">
        <v>46</v>
      </c>
      <c r="C88">
        <v>5</v>
      </c>
      <c r="D88">
        <f>+D87</f>
        <v>2490.0450000000001</v>
      </c>
      <c r="G88" s="61"/>
    </row>
    <row r="89" spans="2:7" x14ac:dyDescent="0.25">
      <c r="B89" s="61" t="s">
        <v>45</v>
      </c>
      <c r="C89">
        <v>5</v>
      </c>
      <c r="D89">
        <f>+D75</f>
        <v>506.00900000000001</v>
      </c>
      <c r="G89" s="61"/>
    </row>
    <row r="90" spans="2:7" x14ac:dyDescent="0.25">
      <c r="B90" s="61" t="s">
        <v>44</v>
      </c>
      <c r="C90">
        <v>10</v>
      </c>
      <c r="D90">
        <f>+D72</f>
        <v>506.00900000000001</v>
      </c>
      <c r="F90" s="59"/>
      <c r="G90" s="61"/>
    </row>
    <row r="91" spans="2:7" x14ac:dyDescent="0.25">
      <c r="F91" s="59"/>
    </row>
    <row r="93" spans="2:7" x14ac:dyDescent="0.25">
      <c r="F93" s="59"/>
      <c r="G93" s="61"/>
    </row>
    <row r="94" spans="2:7" x14ac:dyDescent="0.25">
      <c r="F94" s="59">
        <v>4</v>
      </c>
      <c r="G94" t="s">
        <v>43</v>
      </c>
    </row>
    <row r="95" spans="2:7" x14ac:dyDescent="0.25">
      <c r="D95" t="str">
        <f>+'Housing Financial Planning '!C13</f>
        <v>Academic Year 2018-2019</v>
      </c>
      <c r="E95">
        <v>4</v>
      </c>
    </row>
    <row r="96" spans="2:7" x14ac:dyDescent="0.25">
      <c r="E96">
        <v>1</v>
      </c>
      <c r="F96" t="s">
        <v>42</v>
      </c>
    </row>
    <row r="97" spans="6:9" x14ac:dyDescent="0.25">
      <c r="F97" t="s">
        <v>41</v>
      </c>
    </row>
    <row r="106" spans="6:9" x14ac:dyDescent="0.25">
      <c r="F106" s="59"/>
    </row>
    <row r="107" spans="6:9" x14ac:dyDescent="0.25">
      <c r="F107" s="59"/>
    </row>
    <row r="108" spans="6:9" x14ac:dyDescent="0.25">
      <c r="F108" s="59"/>
    </row>
    <row r="109" spans="6:9" x14ac:dyDescent="0.25">
      <c r="F109" s="59"/>
    </row>
    <row r="112" spans="6:9" x14ac:dyDescent="0.25">
      <c r="I112" s="60"/>
    </row>
    <row r="113" spans="6:9" x14ac:dyDescent="0.25">
      <c r="F113" s="59"/>
    </row>
    <row r="114" spans="6:9" x14ac:dyDescent="0.25">
      <c r="F114" s="59"/>
    </row>
    <row r="115" spans="6:9" x14ac:dyDescent="0.25">
      <c r="F115" s="59"/>
    </row>
    <row r="116" spans="6:9" x14ac:dyDescent="0.25">
      <c r="F116" s="59"/>
    </row>
    <row r="117" spans="6:9" x14ac:dyDescent="0.25">
      <c r="F117" s="59"/>
    </row>
    <row r="118" spans="6:9" x14ac:dyDescent="0.25">
      <c r="F118" s="59"/>
      <c r="I118" s="60"/>
    </row>
    <row r="119" spans="6:9" x14ac:dyDescent="0.25">
      <c r="F119" s="59"/>
    </row>
    <row r="120" spans="6:9" x14ac:dyDescent="0.25">
      <c r="F120" s="59"/>
    </row>
    <row r="121" spans="6:9" x14ac:dyDescent="0.25">
      <c r="F121" s="59"/>
    </row>
    <row r="122" spans="6:9" x14ac:dyDescent="0.25">
      <c r="F122" s="59"/>
    </row>
    <row r="123" spans="6:9" x14ac:dyDescent="0.25">
      <c r="F123" s="59"/>
    </row>
    <row r="124" spans="6:9" x14ac:dyDescent="0.25">
      <c r="F124" s="59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Housing Financial Planning </vt:lpstr>
      <vt:lpstr>Formulas</vt:lpstr>
      <vt:lpstr>Class</vt:lpstr>
      <vt:lpstr>Meals</vt:lpstr>
      <vt:lpstr>Meals_1</vt:lpstr>
      <vt:lpstr>Meals_2</vt:lpstr>
      <vt:lpstr>Meals_3</vt:lpstr>
      <vt:lpstr>meals3</vt:lpstr>
      <vt:lpstr>Payments</vt:lpstr>
      <vt:lpstr>'Housing Financial Planning '!Print_Area</vt:lpstr>
      <vt:lpstr>Room_Type</vt:lpstr>
      <vt:lpstr>Room_Type1</vt:lpstr>
      <vt:lpstr>Roomtype_1</vt:lpstr>
      <vt:lpstr>Term_4</vt:lpstr>
      <vt:lpstr>Term_5</vt:lpstr>
      <vt:lpstr>Term_6</vt:lpstr>
      <vt:lpstr>Winter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Giannini</dc:creator>
  <cp:lastModifiedBy>Renee Giannini</cp:lastModifiedBy>
  <cp:lastPrinted>2017-04-18T22:56:36Z</cp:lastPrinted>
  <dcterms:created xsi:type="dcterms:W3CDTF">2017-02-28T18:32:53Z</dcterms:created>
  <dcterms:modified xsi:type="dcterms:W3CDTF">2018-02-12T16:34:25Z</dcterms:modified>
</cp:coreProperties>
</file>